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codeName="ThisWorkbook" defaultThemeVersion="124226"/>
  <mc:AlternateContent xmlns:mc="http://schemas.openxmlformats.org/markup-compatibility/2006">
    <mc:Choice Requires="x15">
      <x15ac:absPath xmlns:x15ac="http://schemas.microsoft.com/office/spreadsheetml/2010/11/ac" url="C:\Users\Samue\Documents\MEGA\iinno-benelux\String design tool\"/>
    </mc:Choice>
  </mc:AlternateContent>
  <xr:revisionPtr revIDLastSave="0" documentId="8_{071B5058-4D93-48B5-8A4D-DE3864CA6EEB}" xr6:coauthVersionLast="47" xr6:coauthVersionMax="47" xr10:uidLastSave="{00000000-0000-0000-0000-000000000000}"/>
  <workbookProtection workbookAlgorithmName="SHA-512" workbookHashValue="TlDwnVqYueqrCn9pPX7L6C/PcY8pc+gy0ckGMedojZrwoRYImQ0zsPH97GK1bilHnSTz3frFPZ4x9uSxvyZm0A==" workbookSaltValue="rZdcK9ZHd8WyqZJn3XwWKg==" workbookSpinCount="100000" lockStructure="1"/>
  <bookViews>
    <workbookView xWindow="2340" yWindow="2340" windowWidth="28800" windowHeight="15435" tabRatio="487" xr2:uid="{00000000-000D-0000-FFFF-FFFF00000000}"/>
  </bookViews>
  <sheets>
    <sheet name="String Design" sheetId="4" r:id="rId1"/>
    <sheet name="Vertalingen" sheetId="7" state="hidden" r:id="rId2"/>
    <sheet name="PV-Panelen" sheetId="5" r:id="rId3"/>
    <sheet name="Batterijen" sheetId="6" state="hidden" r:id="rId4"/>
  </sheets>
  <definedNames>
    <definedName name="_xlnm.Print_Area" localSheetId="0">'String Design'!$A$1:$CZ$77</definedName>
    <definedName name="Hersteller">'PV-Panelen'!$A$2:$A$31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L15" i="4" l="1"/>
  <c r="CL16" i="4"/>
  <c r="CM83" i="4"/>
  <c r="CM84" i="4"/>
  <c r="CM85" i="4"/>
  <c r="CM86" i="4"/>
  <c r="CM87" i="4"/>
  <c r="CM88" i="4"/>
  <c r="CM89" i="4"/>
  <c r="CM90" i="4"/>
  <c r="CM91" i="4"/>
  <c r="CM92" i="4"/>
  <c r="CM93" i="4"/>
  <c r="CM94" i="4"/>
  <c r="CM95" i="4"/>
  <c r="CL83" i="4"/>
  <c r="CL84" i="4"/>
  <c r="CL85" i="4"/>
  <c r="CL86" i="4"/>
  <c r="CL87" i="4"/>
  <c r="CL88" i="4"/>
  <c r="CL89" i="4"/>
  <c r="CL90" i="4"/>
  <c r="CL91" i="4"/>
  <c r="CL92" i="4"/>
  <c r="CL93" i="4"/>
  <c r="CL94" i="4"/>
  <c r="CL95" i="4"/>
  <c r="CK83" i="4"/>
  <c r="CK84" i="4"/>
  <c r="CK85" i="4"/>
  <c r="CK86" i="4"/>
  <c r="CK87" i="4"/>
  <c r="CK88" i="4"/>
  <c r="CK89" i="4"/>
  <c r="CK90" i="4"/>
  <c r="CK91" i="4"/>
  <c r="CK92" i="4"/>
  <c r="CK93" i="4"/>
  <c r="CK94" i="4"/>
  <c r="CK95" i="4"/>
  <c r="CJ83" i="4"/>
  <c r="CJ84" i="4"/>
  <c r="CJ85" i="4"/>
  <c r="CJ86" i="4"/>
  <c r="CJ87" i="4"/>
  <c r="CJ88" i="4"/>
  <c r="CJ89" i="4"/>
  <c r="CJ90" i="4"/>
  <c r="CJ91" i="4"/>
  <c r="CJ92" i="4"/>
  <c r="CJ93" i="4"/>
  <c r="CJ94" i="4"/>
  <c r="CJ95" i="4"/>
  <c r="CI83" i="4"/>
  <c r="CI84" i="4"/>
  <c r="CI85" i="4"/>
  <c r="CI86" i="4"/>
  <c r="CI87" i="4"/>
  <c r="CI88" i="4"/>
  <c r="CI89" i="4"/>
  <c r="CI90" i="4"/>
  <c r="CI91" i="4"/>
  <c r="CI92" i="4"/>
  <c r="CI93" i="4"/>
  <c r="CI94" i="4"/>
  <c r="CI95" i="4"/>
  <c r="CH83" i="4"/>
  <c r="CH84" i="4"/>
  <c r="CH85" i="4"/>
  <c r="CH86" i="4"/>
  <c r="CH87" i="4"/>
  <c r="CH88" i="4"/>
  <c r="CH89" i="4"/>
  <c r="CH90" i="4"/>
  <c r="CH91" i="4"/>
  <c r="CH92" i="4"/>
  <c r="CH93" i="4"/>
  <c r="CH94" i="4"/>
  <c r="CH95" i="4"/>
  <c r="CG83" i="4"/>
  <c r="CG84" i="4"/>
  <c r="CG85" i="4"/>
  <c r="CG86" i="4"/>
  <c r="CG87" i="4"/>
  <c r="CG88" i="4"/>
  <c r="CG89" i="4"/>
  <c r="CG90" i="4"/>
  <c r="CG91" i="4"/>
  <c r="CG92" i="4"/>
  <c r="CG93" i="4"/>
  <c r="CG94" i="4"/>
  <c r="CG95" i="4"/>
  <c r="CF83" i="4"/>
  <c r="CF84" i="4"/>
  <c r="CF85" i="4"/>
  <c r="CF86" i="4"/>
  <c r="CF87" i="4"/>
  <c r="CF88" i="4"/>
  <c r="CF89" i="4"/>
  <c r="CF90" i="4"/>
  <c r="CF91" i="4"/>
  <c r="CF92" i="4"/>
  <c r="CF93" i="4"/>
  <c r="CF94" i="4"/>
  <c r="CF95" i="4"/>
  <c r="H14" i="6"/>
  <c r="H11" i="6"/>
  <c r="H15" i="6"/>
  <c r="H12" i="6"/>
  <c r="G9" i="6"/>
  <c r="CF81" i="4"/>
  <c r="K17" i="4"/>
  <c r="H9" i="6"/>
  <c r="CM82" i="4" s="1"/>
  <c r="G7" i="6"/>
  <c r="H7" i="6" s="1"/>
  <c r="CM80" i="4" s="1"/>
  <c r="CM77" i="4"/>
  <c r="CM79" i="4"/>
  <c r="CM81" i="4"/>
  <c r="CM96" i="4"/>
  <c r="CM97" i="4"/>
  <c r="CM98" i="4"/>
  <c r="CM99" i="4"/>
  <c r="CM100" i="4"/>
  <c r="CM101" i="4"/>
  <c r="CM102" i="4"/>
  <c r="CM103" i="4"/>
  <c r="CM104" i="4"/>
  <c r="CL77" i="4"/>
  <c r="CL79" i="4"/>
  <c r="CL80" i="4"/>
  <c r="CL81" i="4"/>
  <c r="CL82" i="4"/>
  <c r="CL96" i="4"/>
  <c r="CL97" i="4"/>
  <c r="CL98" i="4"/>
  <c r="CL99" i="4"/>
  <c r="CL100" i="4"/>
  <c r="CL101" i="4"/>
  <c r="CL102" i="4"/>
  <c r="CL103" i="4"/>
  <c r="CL104" i="4"/>
  <c r="CK76" i="4"/>
  <c r="CK77" i="4"/>
  <c r="CK78" i="4"/>
  <c r="CK79" i="4"/>
  <c r="CK80" i="4"/>
  <c r="CK81" i="4"/>
  <c r="CK82" i="4"/>
  <c r="CK96" i="4"/>
  <c r="CK97" i="4"/>
  <c r="CK98" i="4"/>
  <c r="CK99" i="4"/>
  <c r="CK100" i="4"/>
  <c r="CK101" i="4"/>
  <c r="CK102" i="4"/>
  <c r="CK103" i="4"/>
  <c r="CK104" i="4"/>
  <c r="CJ76" i="4"/>
  <c r="CJ77" i="4"/>
  <c r="CJ78" i="4"/>
  <c r="CJ79" i="4"/>
  <c r="CJ80" i="4"/>
  <c r="CJ81" i="4"/>
  <c r="CJ82" i="4"/>
  <c r="CJ96" i="4"/>
  <c r="CJ97" i="4"/>
  <c r="CJ98" i="4"/>
  <c r="CJ99" i="4"/>
  <c r="CJ100" i="4"/>
  <c r="CJ101" i="4"/>
  <c r="CJ102" i="4"/>
  <c r="CJ103" i="4"/>
  <c r="CJ104" i="4"/>
  <c r="CI76" i="4"/>
  <c r="CI77" i="4"/>
  <c r="CI78" i="4"/>
  <c r="CI79" i="4"/>
  <c r="CI80" i="4"/>
  <c r="CI81" i="4"/>
  <c r="CI82" i="4"/>
  <c r="CI96" i="4"/>
  <c r="CI97" i="4"/>
  <c r="CI98" i="4"/>
  <c r="CI99" i="4"/>
  <c r="CI100" i="4"/>
  <c r="CI101" i="4"/>
  <c r="CI102" i="4"/>
  <c r="CI103" i="4"/>
  <c r="CI104" i="4"/>
  <c r="CH76" i="4"/>
  <c r="CH77" i="4"/>
  <c r="CH78" i="4"/>
  <c r="CH79" i="4"/>
  <c r="CH80" i="4"/>
  <c r="CH81" i="4"/>
  <c r="CH82" i="4"/>
  <c r="CH96" i="4"/>
  <c r="CH97" i="4"/>
  <c r="CH98" i="4"/>
  <c r="CH99" i="4"/>
  <c r="CH100" i="4"/>
  <c r="CH101" i="4"/>
  <c r="CH102" i="4"/>
  <c r="CH103" i="4"/>
  <c r="CH104" i="4"/>
  <c r="CF76" i="4"/>
  <c r="CF77" i="4"/>
  <c r="CF78" i="4"/>
  <c r="CF79" i="4"/>
  <c r="CF80" i="4"/>
  <c r="CF82" i="4"/>
  <c r="CF96" i="4"/>
  <c r="CF97" i="4"/>
  <c r="CF98" i="4"/>
  <c r="CF99" i="4"/>
  <c r="CF100" i="4"/>
  <c r="CF101" i="4"/>
  <c r="CF102" i="4"/>
  <c r="CF103" i="4"/>
  <c r="CF104" i="4"/>
  <c r="CG96" i="4"/>
  <c r="CG97" i="4"/>
  <c r="CG98" i="4"/>
  <c r="CG99" i="4"/>
  <c r="CG100" i="4"/>
  <c r="CG101" i="4"/>
  <c r="CG102" i="4"/>
  <c r="CG103" i="4"/>
  <c r="CG104" i="4"/>
  <c r="CG76" i="4"/>
  <c r="CG77" i="4"/>
  <c r="CG78" i="4"/>
  <c r="CG79" i="4"/>
  <c r="CG80" i="4"/>
  <c r="CG81" i="4"/>
  <c r="CG82" i="4"/>
  <c r="CG75" i="4"/>
  <c r="CF69" i="4"/>
  <c r="CF70" i="4"/>
  <c r="CF71" i="4"/>
  <c r="CF72" i="4"/>
  <c r="CF53" i="4"/>
  <c r="CF54" i="4"/>
  <c r="CF55" i="4"/>
  <c r="CF56" i="4"/>
  <c r="CF57" i="4"/>
  <c r="CF58" i="4"/>
  <c r="CF59" i="4"/>
  <c r="CF60" i="4"/>
  <c r="CF61" i="4"/>
  <c r="CF66" i="4"/>
  <c r="CF67" i="4"/>
  <c r="CF68" i="4"/>
  <c r="CF52" i="4"/>
  <c r="BW21" i="4"/>
  <c r="BW29" i="4"/>
  <c r="G3" i="6"/>
  <c r="H3" i="6" s="1"/>
  <c r="CM76" i="4" s="1"/>
  <c r="G2" i="6"/>
  <c r="H2" i="6" s="1"/>
  <c r="K54" i="4"/>
  <c r="B16" i="4"/>
  <c r="CL76" i="4" l="1"/>
  <c r="G41" i="6"/>
  <c r="H41" i="6" s="1"/>
  <c r="CM78" i="4" l="1"/>
  <c r="CL78" i="4"/>
  <c r="CX31" i="4" l="1"/>
  <c r="CX30" i="4"/>
  <c r="CX29" i="4"/>
  <c r="CX23" i="4"/>
  <c r="CX24" i="4"/>
  <c r="CX25" i="4"/>
  <c r="CX26" i="4"/>
  <c r="CX27" i="4"/>
  <c r="CX28" i="4"/>
  <c r="CX21" i="4"/>
  <c r="G40" i="6"/>
  <c r="H40" i="6" s="1"/>
  <c r="G38" i="6"/>
  <c r="H38" i="6" s="1"/>
  <c r="G39" i="6"/>
  <c r="H39" i="6" s="1"/>
  <c r="G37" i="6"/>
  <c r="H37" i="6" s="1"/>
  <c r="CM75" i="4"/>
  <c r="K3" i="6" a="1"/>
  <c r="K3" i="6" s="1"/>
  <c r="CN76" i="4" s="1"/>
  <c r="K4" i="6" a="1"/>
  <c r="K4" i="6" s="1"/>
  <c r="CN77" i="4" s="1"/>
  <c r="K5" i="6" a="1"/>
  <c r="K5" i="6" s="1"/>
  <c r="CN78" i="4" s="1"/>
  <c r="K6" i="6" a="1"/>
  <c r="K6" i="6" s="1"/>
  <c r="CN79" i="4" s="1"/>
  <c r="K7" i="6" a="1"/>
  <c r="K7" i="6" s="1"/>
  <c r="CN80" i="4" s="1"/>
  <c r="K8" i="6" a="1"/>
  <c r="K8" i="6" s="1"/>
  <c r="CN81" i="4" s="1"/>
  <c r="K9" i="6" a="1"/>
  <c r="K9" i="6" s="1"/>
  <c r="CN82" i="4" s="1"/>
  <c r="K10" i="6" a="1"/>
  <c r="K10" i="6" s="1"/>
  <c r="CN83" i="4" s="1"/>
  <c r="K11" i="6" a="1"/>
  <c r="K11" i="6" s="1"/>
  <c r="CN84" i="4" s="1"/>
  <c r="K12" i="6" a="1"/>
  <c r="K12" i="6" s="1"/>
  <c r="CN85" i="4" s="1"/>
  <c r="K13" i="6" a="1"/>
  <c r="K13" i="6" s="1"/>
  <c r="CN86" i="4" s="1"/>
  <c r="K14" i="6" a="1"/>
  <c r="K14" i="6" s="1"/>
  <c r="CN87" i="4" s="1"/>
  <c r="K15" i="6" a="1"/>
  <c r="K15" i="6" s="1"/>
  <c r="CN88" i="4" s="1"/>
  <c r="K16" i="6" a="1"/>
  <c r="K16" i="6" s="1"/>
  <c r="CN89" i="4" s="1"/>
  <c r="K17" i="6" a="1"/>
  <c r="K17" i="6" s="1"/>
  <c r="CN90" i="4" s="1"/>
  <c r="K2" i="6" a="1"/>
  <c r="K2" i="6" s="1"/>
  <c r="CN75" i="4" s="1"/>
  <c r="CL17" i="4"/>
  <c r="CF75" i="4"/>
  <c r="CH75" i="4"/>
  <c r="CI75" i="4"/>
  <c r="CJ75" i="4"/>
  <c r="CK75" i="4"/>
  <c r="CL75" i="4"/>
  <c r="K31" i="6" a="1"/>
  <c r="K31" i="6" s="1"/>
  <c r="CN104" i="4" s="1"/>
  <c r="K30" i="6" a="1"/>
  <c r="K30" i="6" s="1"/>
  <c r="CN103" i="4" s="1"/>
  <c r="K29" i="6" a="1"/>
  <c r="K29" i="6" s="1"/>
  <c r="CN102" i="4" s="1"/>
  <c r="K28" i="6" a="1"/>
  <c r="K28" i="6" s="1"/>
  <c r="CN101" i="4" s="1"/>
  <c r="K27" i="6" a="1"/>
  <c r="K27" i="6" s="1"/>
  <c r="CN100" i="4" s="1"/>
  <c r="K26" i="6" a="1"/>
  <c r="K26" i="6" s="1"/>
  <c r="CN99" i="4" s="1"/>
  <c r="K25" i="6" a="1"/>
  <c r="K25" i="6" s="1"/>
  <c r="CN98" i="4" s="1"/>
  <c r="K24" i="6" a="1"/>
  <c r="K24" i="6" s="1"/>
  <c r="CN97" i="4" s="1"/>
  <c r="K23" i="6" a="1"/>
  <c r="K23" i="6" s="1"/>
  <c r="CN96" i="4" s="1"/>
  <c r="K22" i="6" a="1"/>
  <c r="K22" i="6" s="1"/>
  <c r="CN95" i="4" s="1"/>
  <c r="K21" i="6" a="1"/>
  <c r="K21" i="6" s="1"/>
  <c r="CN94" i="4" s="1"/>
  <c r="K20" i="6" a="1"/>
  <c r="K20" i="6" s="1"/>
  <c r="CN93" i="4" s="1"/>
  <c r="K19" i="6" a="1"/>
  <c r="K19" i="6" s="1"/>
  <c r="CN92" i="4" s="1"/>
  <c r="K18" i="6" a="1"/>
  <c r="K18" i="6" s="1"/>
  <c r="CN91" i="4" s="1"/>
  <c r="CI17" i="4"/>
  <c r="J19" i="4" s="1"/>
  <c r="CI16" i="4"/>
  <c r="CI15" i="4"/>
  <c r="J59" i="4"/>
  <c r="J60" i="4"/>
  <c r="BD51" i="4"/>
  <c r="BD48" i="4"/>
  <c r="BD45" i="4"/>
  <c r="BD54" i="4"/>
  <c r="AW53" i="4"/>
  <c r="AW47" i="4"/>
  <c r="AV39" i="4"/>
  <c r="CF46" i="4"/>
  <c r="CG46" i="4"/>
  <c r="CH46" i="4"/>
  <c r="CI46" i="4"/>
  <c r="CJ46" i="4"/>
  <c r="CK46" i="4"/>
  <c r="CL46" i="4"/>
  <c r="CM46" i="4"/>
  <c r="CN46" i="4"/>
  <c r="CO46" i="4"/>
  <c r="CF47" i="4"/>
  <c r="CG47" i="4"/>
  <c r="CH47" i="4"/>
  <c r="CI47" i="4"/>
  <c r="CJ47" i="4"/>
  <c r="CK47" i="4"/>
  <c r="CL47" i="4"/>
  <c r="CM47" i="4"/>
  <c r="CN47" i="4"/>
  <c r="CO47" i="4"/>
  <c r="CF48" i="4"/>
  <c r="CG48" i="4"/>
  <c r="CH48" i="4"/>
  <c r="CI48" i="4"/>
  <c r="CJ48" i="4"/>
  <c r="CK48" i="4"/>
  <c r="CL48" i="4"/>
  <c r="CM48" i="4"/>
  <c r="CN48" i="4"/>
  <c r="CO48" i="4"/>
  <c r="CF49" i="4"/>
  <c r="CG49" i="4"/>
  <c r="CH49" i="4"/>
  <c r="CI49" i="4"/>
  <c r="CJ49" i="4"/>
  <c r="CK49" i="4"/>
  <c r="CL49" i="4"/>
  <c r="CM49" i="4"/>
  <c r="CN49" i="4"/>
  <c r="CO49" i="4"/>
  <c r="CF50" i="4"/>
  <c r="CG50" i="4"/>
  <c r="CH50" i="4"/>
  <c r="CI50" i="4"/>
  <c r="CJ50" i="4"/>
  <c r="CK50" i="4"/>
  <c r="CL50" i="4"/>
  <c r="CM50" i="4"/>
  <c r="CN50" i="4"/>
  <c r="CO50" i="4"/>
  <c r="CF51" i="4"/>
  <c r="CG51" i="4"/>
  <c r="CH51" i="4"/>
  <c r="CI51" i="4"/>
  <c r="CJ51" i="4"/>
  <c r="CK51" i="4"/>
  <c r="CL51" i="4"/>
  <c r="CM51" i="4"/>
  <c r="CN51" i="4"/>
  <c r="CO51" i="4"/>
  <c r="CG52" i="4"/>
  <c r="CH52" i="4"/>
  <c r="CI52" i="4"/>
  <c r="CJ52" i="4"/>
  <c r="CK52" i="4"/>
  <c r="CL52" i="4"/>
  <c r="CM52" i="4"/>
  <c r="CN52" i="4"/>
  <c r="CO52" i="4"/>
  <c r="CG53" i="4"/>
  <c r="CH53" i="4"/>
  <c r="CI53" i="4"/>
  <c r="CJ53" i="4"/>
  <c r="CK53" i="4"/>
  <c r="CL53" i="4"/>
  <c r="CM53" i="4"/>
  <c r="CN53" i="4"/>
  <c r="CO53" i="4"/>
  <c r="CG54" i="4"/>
  <c r="CH54" i="4"/>
  <c r="CI54" i="4"/>
  <c r="CJ54" i="4"/>
  <c r="CK54" i="4"/>
  <c r="CL54" i="4"/>
  <c r="CM54" i="4"/>
  <c r="CN54" i="4"/>
  <c r="CO54" i="4"/>
  <c r="CG55" i="4"/>
  <c r="CH55" i="4"/>
  <c r="CI55" i="4"/>
  <c r="CJ55" i="4"/>
  <c r="CK55" i="4"/>
  <c r="CL55" i="4"/>
  <c r="CM55" i="4"/>
  <c r="CN55" i="4"/>
  <c r="CO55" i="4"/>
  <c r="CG56" i="4"/>
  <c r="CH56" i="4"/>
  <c r="CI56" i="4"/>
  <c r="CJ56" i="4"/>
  <c r="CK56" i="4"/>
  <c r="CL56" i="4"/>
  <c r="CM56" i="4"/>
  <c r="CN56" i="4"/>
  <c r="CO56" i="4"/>
  <c r="CG57" i="4"/>
  <c r="CH57" i="4"/>
  <c r="CI57" i="4"/>
  <c r="CJ57" i="4"/>
  <c r="CK57" i="4"/>
  <c r="CL57" i="4"/>
  <c r="CM57" i="4"/>
  <c r="CN57" i="4"/>
  <c r="CO57" i="4"/>
  <c r="CG58" i="4"/>
  <c r="CH58" i="4"/>
  <c r="CI58" i="4"/>
  <c r="CJ58" i="4"/>
  <c r="CK58" i="4"/>
  <c r="CL58" i="4"/>
  <c r="CM58" i="4"/>
  <c r="CN58" i="4"/>
  <c r="CO58" i="4"/>
  <c r="CG59" i="4"/>
  <c r="CH59" i="4"/>
  <c r="CI59" i="4"/>
  <c r="CJ59" i="4"/>
  <c r="CK59" i="4"/>
  <c r="CL59" i="4"/>
  <c r="CM59" i="4"/>
  <c r="CN59" i="4"/>
  <c r="CO59" i="4"/>
  <c r="CG60" i="4"/>
  <c r="CH60" i="4"/>
  <c r="CI60" i="4"/>
  <c r="CJ60" i="4"/>
  <c r="CK60" i="4"/>
  <c r="CL60" i="4"/>
  <c r="CM60" i="4"/>
  <c r="CN60" i="4"/>
  <c r="CO60" i="4"/>
  <c r="CG61" i="4"/>
  <c r="CH61" i="4"/>
  <c r="CI61" i="4"/>
  <c r="CJ61" i="4"/>
  <c r="CK61" i="4"/>
  <c r="CL61" i="4"/>
  <c r="CM61" i="4"/>
  <c r="CN61" i="4"/>
  <c r="CO61" i="4"/>
  <c r="CG66" i="4"/>
  <c r="CH66" i="4"/>
  <c r="CI66" i="4"/>
  <c r="CJ66" i="4"/>
  <c r="CK66" i="4"/>
  <c r="CL66" i="4"/>
  <c r="CM66" i="4"/>
  <c r="CN66" i="4"/>
  <c r="CO66" i="4"/>
  <c r="CG67" i="4"/>
  <c r="CH67" i="4"/>
  <c r="CI67" i="4"/>
  <c r="CJ67" i="4"/>
  <c r="CK67" i="4"/>
  <c r="CL67" i="4"/>
  <c r="CM67" i="4"/>
  <c r="CN67" i="4"/>
  <c r="CO67" i="4"/>
  <c r="CG68" i="4"/>
  <c r="CH68" i="4"/>
  <c r="CI68" i="4"/>
  <c r="CJ68" i="4"/>
  <c r="CK68" i="4"/>
  <c r="CL68" i="4"/>
  <c r="CM68" i="4"/>
  <c r="CN68" i="4"/>
  <c r="CO68" i="4"/>
  <c r="CG69" i="4"/>
  <c r="CH69" i="4"/>
  <c r="CI69" i="4"/>
  <c r="CJ69" i="4"/>
  <c r="CK69" i="4"/>
  <c r="CL69" i="4"/>
  <c r="CM69" i="4"/>
  <c r="CN69" i="4"/>
  <c r="CO69" i="4"/>
  <c r="CG70" i="4"/>
  <c r="CH70" i="4"/>
  <c r="CI70" i="4"/>
  <c r="CJ70" i="4"/>
  <c r="CK70" i="4"/>
  <c r="CL70" i="4"/>
  <c r="CM70" i="4"/>
  <c r="CN70" i="4"/>
  <c r="CO70" i="4"/>
  <c r="CG71" i="4"/>
  <c r="CH71" i="4"/>
  <c r="CI71" i="4"/>
  <c r="CJ71" i="4"/>
  <c r="CK71" i="4"/>
  <c r="CL71" i="4"/>
  <c r="CM71" i="4"/>
  <c r="CN71" i="4"/>
  <c r="CO71" i="4"/>
  <c r="CG72" i="4"/>
  <c r="CH72" i="4"/>
  <c r="CI72" i="4"/>
  <c r="CJ72" i="4"/>
  <c r="CK72" i="4"/>
  <c r="CL72" i="4"/>
  <c r="CM72" i="4"/>
  <c r="CN72" i="4"/>
  <c r="CO72" i="4"/>
  <c r="CF40" i="4"/>
  <c r="CG40" i="4"/>
  <c r="CH40" i="4"/>
  <c r="CI40" i="4"/>
  <c r="CJ40" i="4"/>
  <c r="CK40" i="4"/>
  <c r="CL40" i="4"/>
  <c r="CM40" i="4"/>
  <c r="CN40" i="4"/>
  <c r="CO40" i="4"/>
  <c r="CF41" i="4"/>
  <c r="CF39" i="4"/>
  <c r="CF42" i="4"/>
  <c r="CF43" i="4"/>
  <c r="CF44" i="4"/>
  <c r="CF45" i="4"/>
  <c r="CG41" i="4"/>
  <c r="CH41" i="4"/>
  <c r="CI41" i="4"/>
  <c r="CJ41" i="4"/>
  <c r="CG39" i="4"/>
  <c r="CG42" i="4"/>
  <c r="CG43" i="4"/>
  <c r="CG44" i="4"/>
  <c r="CH39" i="4"/>
  <c r="CI39" i="4"/>
  <c r="CJ39" i="4"/>
  <c r="CK39" i="4"/>
  <c r="CL39" i="4"/>
  <c r="CM39" i="4"/>
  <c r="CN39" i="4"/>
  <c r="CO39" i="4"/>
  <c r="CK41" i="4"/>
  <c r="CL41" i="4"/>
  <c r="CM41" i="4"/>
  <c r="CN41" i="4"/>
  <c r="CO41" i="4"/>
  <c r="CH42" i="4"/>
  <c r="CI42" i="4"/>
  <c r="CJ42" i="4"/>
  <c r="CK42" i="4"/>
  <c r="CL42" i="4"/>
  <c r="CM42" i="4"/>
  <c r="CN42" i="4"/>
  <c r="CO42" i="4"/>
  <c r="CH43" i="4"/>
  <c r="CI43" i="4"/>
  <c r="CJ43" i="4"/>
  <c r="CK43" i="4"/>
  <c r="CL43" i="4"/>
  <c r="CM43" i="4"/>
  <c r="CN43" i="4"/>
  <c r="CO43" i="4"/>
  <c r="CH44" i="4"/>
  <c r="CI44" i="4"/>
  <c r="CJ44" i="4"/>
  <c r="CK44" i="4"/>
  <c r="CL44" i="4"/>
  <c r="CM44" i="4"/>
  <c r="CN44" i="4"/>
  <c r="CO44" i="4"/>
  <c r="CG45" i="4"/>
  <c r="CH45" i="4"/>
  <c r="CI45" i="4"/>
  <c r="CJ45" i="4"/>
  <c r="CK45" i="4"/>
  <c r="CL45" i="4"/>
  <c r="CM45" i="4"/>
  <c r="CN45" i="4"/>
  <c r="CO45" i="4"/>
  <c r="L3" i="5" a="1"/>
  <c r="L3" i="5" s="1"/>
  <c r="CP40" i="4" s="1"/>
  <c r="L4" i="5" a="1"/>
  <c r="L4" i="5" s="1"/>
  <c r="CP41" i="4" s="1"/>
  <c r="L5" i="5" a="1"/>
  <c r="L5" i="5" s="1"/>
  <c r="CP42" i="4" s="1"/>
  <c r="L6" i="5" a="1"/>
  <c r="L6" i="5" s="1"/>
  <c r="CP43" i="4" s="1"/>
  <c r="L7" i="5" a="1"/>
  <c r="L7" i="5" s="1"/>
  <c r="CP44" i="4" s="1"/>
  <c r="L8" i="5" a="1"/>
  <c r="L8" i="5" s="1"/>
  <c r="CP45" i="4" s="1"/>
  <c r="L9" i="5" a="1"/>
  <c r="L9" i="5" s="1"/>
  <c r="CP46" i="4" s="1"/>
  <c r="L10" i="5" a="1"/>
  <c r="L10" i="5" s="1"/>
  <c r="CP47" i="4" s="1"/>
  <c r="L11" i="5" a="1"/>
  <c r="L11" i="5" s="1"/>
  <c r="CP48" i="4" s="1"/>
  <c r="L12" i="5" a="1"/>
  <c r="L12" i="5" s="1"/>
  <c r="CP49" i="4" s="1"/>
  <c r="L13" i="5" a="1"/>
  <c r="L13" i="5" s="1"/>
  <c r="CP50" i="4" s="1"/>
  <c r="L14" i="5" a="1"/>
  <c r="L14" i="5" s="1"/>
  <c r="CP51" i="4" s="1"/>
  <c r="L15" i="5" a="1"/>
  <c r="L15" i="5" s="1"/>
  <c r="CP52" i="4" s="1"/>
  <c r="L16" i="5" a="1"/>
  <c r="L16" i="5" s="1"/>
  <c r="CP53" i="4" s="1"/>
  <c r="L17" i="5" a="1"/>
  <c r="L17" i="5" s="1"/>
  <c r="CP54" i="4" s="1"/>
  <c r="L18" i="5" a="1"/>
  <c r="L18" i="5" s="1"/>
  <c r="CP55" i="4" s="1"/>
  <c r="L19" i="5" a="1"/>
  <c r="L19" i="5" s="1"/>
  <c r="CP56" i="4" s="1"/>
  <c r="L20" i="5" a="1"/>
  <c r="L20" i="5" s="1"/>
  <c r="CP57" i="4" s="1"/>
  <c r="L21" i="5" a="1"/>
  <c r="L21" i="5" s="1"/>
  <c r="CP58" i="4" s="1"/>
  <c r="L22" i="5" a="1"/>
  <c r="L22" i="5" s="1"/>
  <c r="CP59" i="4" s="1"/>
  <c r="L23" i="5" a="1"/>
  <c r="L23" i="5" s="1"/>
  <c r="CP60" i="4" s="1"/>
  <c r="L24" i="5" a="1"/>
  <c r="L24" i="5" s="1"/>
  <c r="CP61" i="4" s="1"/>
  <c r="L25" i="5" a="1"/>
  <c r="L25" i="5" s="1"/>
  <c r="CP66" i="4" s="1"/>
  <c r="L26" i="5" a="1"/>
  <c r="L26" i="5" s="1"/>
  <c r="CP67" i="4" s="1"/>
  <c r="L27" i="5" a="1"/>
  <c r="L27" i="5" s="1"/>
  <c r="CP68" i="4" s="1"/>
  <c r="L28" i="5" a="1"/>
  <c r="L28" i="5" s="1"/>
  <c r="CP69" i="4" s="1"/>
  <c r="L29" i="5" a="1"/>
  <c r="L29" i="5" s="1"/>
  <c r="CP70" i="4" s="1"/>
  <c r="L30" i="5" a="1"/>
  <c r="L30" i="5" s="1"/>
  <c r="CP71" i="4" s="1"/>
  <c r="L31" i="5" a="1"/>
  <c r="L31" i="5" s="1"/>
  <c r="CP72" i="4" s="1"/>
  <c r="L2" i="5" a="1"/>
  <c r="L2" i="5" s="1"/>
  <c r="CP39" i="4" s="1"/>
  <c r="AJ44" i="4"/>
  <c r="K22" i="4"/>
  <c r="K18" i="4"/>
  <c r="S5" i="5"/>
  <c r="S6" i="5"/>
  <c r="S4" i="5"/>
  <c r="CO96" i="4" a="1"/>
  <c r="CO96" i="4" s="1"/>
  <c r="CO103" i="4" a="1"/>
  <c r="CO103" i="4" s="1"/>
  <c r="BO40" i="4"/>
  <c r="BR44" i="4" s="1"/>
  <c r="BO41" i="4"/>
  <c r="BN39" i="4"/>
  <c r="BN43" i="4" s="1"/>
  <c r="BO39" i="4"/>
  <c r="BR43" i="4" s="1"/>
  <c r="BN40" i="4"/>
  <c r="BN44" i="4" s="1"/>
  <c r="CQ44" i="4" l="1" a="1"/>
  <c r="CQ44" i="4" s="1"/>
  <c r="CQ49" i="4" a="1"/>
  <c r="CQ49" i="4" s="1"/>
  <c r="CQ41" i="4" a="1"/>
  <c r="CQ41" i="4" s="1"/>
  <c r="CQ48" i="4" a="1"/>
  <c r="CQ48" i="4" s="1"/>
  <c r="CQ47" i="4" a="1"/>
  <c r="CQ47" i="4" s="1"/>
  <c r="CQ46" i="4" a="1"/>
  <c r="CQ46" i="4" s="1"/>
  <c r="CQ43" i="4" a="1"/>
  <c r="CQ43" i="4" s="1"/>
  <c r="CQ40" i="4" a="1"/>
  <c r="CQ40" i="4" s="1"/>
  <c r="CQ39" i="4" a="1"/>
  <c r="CQ39" i="4" s="1"/>
  <c r="CQ42" i="4" a="1"/>
  <c r="CQ42" i="4" s="1"/>
  <c r="CQ45" i="4" a="1"/>
  <c r="CQ45" i="4" s="1"/>
  <c r="R11" i="4"/>
  <c r="CO76" i="4" a="1"/>
  <c r="CO76" i="4" s="1"/>
  <c r="CO77" i="4" a="1"/>
  <c r="CO77" i="4" s="1"/>
  <c r="CO102" i="4" a="1"/>
  <c r="CO102" i="4" s="1"/>
  <c r="CO75" i="4" a="1"/>
  <c r="CO75" i="4" s="1"/>
  <c r="CO93" i="4" a="1"/>
  <c r="CO93" i="4" s="1"/>
  <c r="CO92" i="4" a="1"/>
  <c r="CO92" i="4" s="1"/>
  <c r="CO99" i="4" a="1"/>
  <c r="CO99" i="4" s="1"/>
  <c r="CO81" i="4" a="1"/>
  <c r="CO81" i="4" s="1"/>
  <c r="CO88" i="4" a="1"/>
  <c r="CO88" i="4" s="1"/>
  <c r="J40" i="4"/>
  <c r="K14" i="4"/>
  <c r="J39" i="4"/>
  <c r="J36" i="4"/>
  <c r="AV21" i="4" s="1"/>
  <c r="CQ52" i="4" a="1"/>
  <c r="CQ52" i="4" s="1"/>
  <c r="CQ59" i="4" a="1"/>
  <c r="CQ59" i="4" s="1"/>
  <c r="CO84" i="4" a="1"/>
  <c r="CO84" i="4" s="1"/>
  <c r="CO83" i="4" a="1"/>
  <c r="CO83" i="4" s="1"/>
  <c r="CO90" i="4" a="1"/>
  <c r="CO90" i="4" s="1"/>
  <c r="CO87" i="4" a="1"/>
  <c r="CO87" i="4" s="1"/>
  <c r="CO85" i="4" a="1"/>
  <c r="CO85" i="4" s="1"/>
  <c r="CO86" i="4" a="1"/>
  <c r="CO86" i="4" s="1"/>
  <c r="CO80" i="4" a="1"/>
  <c r="CO80" i="4" s="1"/>
  <c r="CO104" i="4" a="1"/>
  <c r="CO104" i="4" s="1"/>
  <c r="CO98" i="4" a="1"/>
  <c r="CO98" i="4" s="1"/>
  <c r="CO101" i="4" a="1"/>
  <c r="CO101" i="4" s="1"/>
  <c r="CO94" i="4" a="1"/>
  <c r="CO94" i="4" s="1"/>
  <c r="CO78" i="4" a="1"/>
  <c r="CO78" i="4" s="1"/>
  <c r="CO100" i="4" a="1"/>
  <c r="CO100" i="4" s="1"/>
  <c r="CO79" i="4" a="1"/>
  <c r="CO79" i="4" s="1"/>
  <c r="CO97" i="4" a="1"/>
  <c r="CO97" i="4" s="1"/>
  <c r="CO82" i="4" a="1"/>
  <c r="CO82" i="4" s="1"/>
  <c r="CO95" i="4" a="1"/>
  <c r="CO95" i="4" s="1"/>
  <c r="CO91" i="4" a="1"/>
  <c r="CO91" i="4" s="1"/>
  <c r="CO89" i="4" a="1"/>
  <c r="CO89" i="4" s="1"/>
  <c r="CQ69" i="4" a="1"/>
  <c r="CQ69" i="4" s="1"/>
  <c r="CQ67" i="4" a="1"/>
  <c r="CQ67" i="4" s="1"/>
  <c r="CQ50" i="4" a="1"/>
  <c r="CQ50" i="4" s="1"/>
  <c r="CQ61" i="4" a="1"/>
  <c r="CQ61" i="4" s="1"/>
  <c r="CQ60" i="4" a="1"/>
  <c r="CQ60" i="4" s="1"/>
  <c r="CQ66" i="4" a="1"/>
  <c r="CQ66" i="4" s="1"/>
  <c r="CQ70" i="4" a="1"/>
  <c r="CQ70" i="4" s="1"/>
  <c r="CQ53" i="4" a="1"/>
  <c r="CQ53" i="4" s="1"/>
  <c r="BL13" i="4"/>
  <c r="BD13" i="4"/>
  <c r="J20" i="4"/>
  <c r="J41" i="4"/>
  <c r="J45" i="4"/>
  <c r="J47" i="4"/>
  <c r="CQ68" i="4" a="1"/>
  <c r="CQ68" i="4" s="1"/>
  <c r="CQ56" i="4" a="1"/>
  <c r="CQ56" i="4" s="1"/>
  <c r="CQ57" i="4" a="1"/>
  <c r="CQ57" i="4" s="1"/>
  <c r="CQ71" i="4" a="1"/>
  <c r="CQ71" i="4" s="1"/>
  <c r="CQ72" i="4" a="1"/>
  <c r="CQ72" i="4" s="1"/>
  <c r="J46" i="4"/>
  <c r="J38" i="4"/>
  <c r="CQ55" i="4" a="1"/>
  <c r="CQ55" i="4" s="1"/>
  <c r="CQ54" i="4" a="1"/>
  <c r="CQ54" i="4" s="1"/>
  <c r="CQ51" i="4" a="1"/>
  <c r="CQ51" i="4" s="1"/>
  <c r="CQ58" i="4" a="1"/>
  <c r="CQ58" i="4" s="1"/>
  <c r="CI10" i="4" l="1"/>
  <c r="CV13" i="4"/>
  <c r="BF21" i="4"/>
  <c r="BP21" i="4" s="1"/>
  <c r="AA20" i="4" s="1"/>
  <c r="AV29" i="4"/>
  <c r="BF29" i="4" s="1"/>
  <c r="BP29" i="4" s="1"/>
  <c r="AA28" i="4" s="1"/>
  <c r="CM13" i="4"/>
  <c r="CK13" i="4"/>
  <c r="CL13" i="4"/>
  <c r="CO13" i="4"/>
  <c r="CS13" i="4"/>
  <c r="CT13" i="4"/>
  <c r="CI13" i="4"/>
  <c r="CU13" i="4"/>
  <c r="CP13" i="4"/>
  <c r="CJ13" i="4"/>
  <c r="CW13" i="4"/>
  <c r="CN13" i="4"/>
  <c r="CQ13" i="4"/>
  <c r="CR13" i="4"/>
  <c r="CI11" i="4"/>
  <c r="CQ11" i="4"/>
  <c r="CS10" i="4"/>
  <c r="CM10" i="4"/>
  <c r="CS11" i="4"/>
  <c r="CL10" i="4"/>
  <c r="CO11" i="4"/>
  <c r="CW10" i="4"/>
  <c r="CQ10" i="4"/>
  <c r="CJ11" i="4"/>
  <c r="CN10" i="4"/>
  <c r="CU10" i="4"/>
  <c r="CV11" i="4"/>
  <c r="CP10" i="4"/>
  <c r="CR11" i="4"/>
  <c r="CT10" i="4"/>
  <c r="CJ10" i="4"/>
  <c r="CK11" i="4"/>
  <c r="CP11" i="4"/>
  <c r="CR10" i="4"/>
  <c r="CV10" i="4"/>
  <c r="CK10" i="4"/>
  <c r="CN11" i="4"/>
  <c r="CO10" i="4"/>
  <c r="CM11" i="4"/>
  <c r="CW11" i="4"/>
  <c r="CT11" i="4"/>
  <c r="CU11" i="4"/>
  <c r="CL11" i="4"/>
  <c r="CP12" i="4" l="1"/>
  <c r="CV12" i="4"/>
  <c r="CL12" i="4"/>
  <c r="AA19" i="4"/>
  <c r="AG20" i="4" s="1"/>
  <c r="AG29" i="4"/>
  <c r="AG21" i="4"/>
  <c r="CI12" i="4"/>
  <c r="AA27" i="4"/>
  <c r="AG28" i="4" s="1"/>
  <c r="BR13" i="4"/>
  <c r="CQ12" i="4"/>
  <c r="CK12" i="4"/>
  <c r="CM12" i="4"/>
  <c r="CO12" i="4"/>
  <c r="CS12" i="4"/>
  <c r="CU12" i="4"/>
  <c r="CT12" i="4"/>
  <c r="CJ12" i="4"/>
  <c r="CW12" i="4"/>
  <c r="CN12" i="4"/>
  <c r="CR12" i="4"/>
  <c r="AB30" i="4"/>
  <c r="AG30" i="4" s="1"/>
  <c r="AB22" i="4"/>
  <c r="AG22" i="4" s="1"/>
  <c r="AA29" i="4"/>
  <c r="CG11" i="4"/>
  <c r="AA21" i="4"/>
  <c r="AB23" i="4" l="1"/>
  <c r="AG23" i="4" s="1"/>
  <c r="AB31" i="4"/>
  <c r="AG31"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<sst xmlns="http://schemas.openxmlformats.org/spreadsheetml/2006/main" count="664" uniqueCount="509">
  <si>
    <t>STRING DESIGN VOOR ALPHAESS BATTERIJSYSTEMEN</t>
  </si>
  <si>
    <t>BATTERIJSYSTEEM</t>
  </si>
  <si>
    <t>STRING DESIGN</t>
  </si>
  <si>
    <t>Range</t>
  </si>
  <si>
    <t>Module temperatuur:</t>
  </si>
  <si>
    <t>OPMERKING</t>
  </si>
  <si>
    <t>RESULTAAT</t>
  </si>
  <si>
    <r>
      <t>Opencircuitspanning U</t>
    </r>
    <r>
      <rPr>
        <vertAlign val="subscript"/>
        <sz val="10"/>
        <color theme="1"/>
        <rFont val="Arial"/>
        <family val="2"/>
      </rPr>
      <t>OC</t>
    </r>
    <r>
      <rPr>
        <sz val="10"/>
        <color theme="1"/>
        <rFont val="Arial"/>
        <family val="2"/>
      </rPr>
      <t>:</t>
    </r>
  </si>
  <si>
    <t>Batterij systeem:</t>
  </si>
  <si>
    <t>SMILE-G3-S5</t>
  </si>
  <si>
    <r>
      <t>Spanning U</t>
    </r>
    <r>
      <rPr>
        <vertAlign val="subscript"/>
        <sz val="10"/>
        <color theme="1"/>
        <rFont val="Arial"/>
        <family val="2"/>
      </rPr>
      <t>MPP</t>
    </r>
    <r>
      <rPr>
        <sz val="10"/>
        <color theme="1"/>
        <rFont val="Arial"/>
        <family val="2"/>
      </rPr>
      <t>:</t>
    </r>
  </si>
  <si>
    <t>Batterij type:</t>
  </si>
  <si>
    <t>x</t>
  </si>
  <si>
    <t>BAT-10.1P</t>
  </si>
  <si>
    <t>Module in AC-koppeling</t>
  </si>
  <si>
    <t>Totaal modules</t>
  </si>
  <si>
    <t>DC-Ingangen</t>
  </si>
  <si>
    <t>Totale PV-output</t>
  </si>
  <si>
    <r>
      <t>Stroom</t>
    </r>
    <r>
      <rPr>
        <vertAlign val="subscript"/>
        <sz val="10"/>
        <color theme="1"/>
        <rFont val="Arial"/>
        <family val="2"/>
      </rPr>
      <t xml:space="preserve"> NOCT</t>
    </r>
    <r>
      <rPr>
        <sz val="10"/>
        <color theme="1"/>
        <rFont val="Arial"/>
        <family val="2"/>
      </rPr>
      <t>:</t>
    </r>
  </si>
  <si>
    <t>Vermogen NOCT:</t>
  </si>
  <si>
    <t>Bruikbare opslagcapaciteit:</t>
  </si>
  <si>
    <t>kWh</t>
  </si>
  <si>
    <t>Umpp Max</t>
  </si>
  <si>
    <t>V</t>
  </si>
  <si>
    <t>Ubat Min</t>
  </si>
  <si>
    <t>Ump Min</t>
  </si>
  <si>
    <t>Ubat</t>
  </si>
  <si>
    <t>Nominaal AC Vermogen:</t>
  </si>
  <si>
    <t>W</t>
  </si>
  <si>
    <t>Uoc Max</t>
  </si>
  <si>
    <t>Max-Accu's</t>
  </si>
  <si>
    <t>Maximaal PV-ingangsvermogen:</t>
  </si>
  <si>
    <t>STRING-DESIGN A</t>
  </si>
  <si>
    <t>ACTIVEREN :</t>
  </si>
  <si>
    <t>Ja</t>
  </si>
  <si>
    <t>Maximaal PV nullastspanning:</t>
  </si>
  <si>
    <t>PV-MPP-Bereik:</t>
  </si>
  <si>
    <t>Ingangsvermogen (25°C)</t>
  </si>
  <si>
    <t>Aantal modules in string</t>
  </si>
  <si>
    <t>Aantal strings in parallel</t>
  </si>
  <si>
    <t>Aantal bezette DC-ingangen</t>
  </si>
  <si>
    <t>Totaal aantal panelen</t>
  </si>
  <si>
    <t>Verschillende Opslagsystemen</t>
  </si>
  <si>
    <t>AC-Vermogen</t>
  </si>
  <si>
    <t>MPPT(Pmax)</t>
  </si>
  <si>
    <t>MPPT Imax</t>
  </si>
  <si>
    <t>Uoc(max)</t>
  </si>
  <si>
    <t>Uoc(min)</t>
  </si>
  <si>
    <t>Uoc-Range</t>
  </si>
  <si>
    <t>Umpp(max)</t>
  </si>
  <si>
    <t>Umpp(min)</t>
  </si>
  <si>
    <t>Umpp Range</t>
  </si>
  <si>
    <t>Aantal MPPT</t>
  </si>
  <si>
    <t>Akku</t>
  </si>
  <si>
    <t>WR-Type</t>
  </si>
  <si>
    <t>Vermogen</t>
  </si>
  <si>
    <t>Backup-Vermogen</t>
  </si>
  <si>
    <t>Max. Laadstroom</t>
  </si>
  <si>
    <t>Max. Ontlaadstroom</t>
  </si>
  <si>
    <t>Ubat (min)</t>
  </si>
  <si>
    <t>Boost (10s)</t>
  </si>
  <si>
    <t>Aantal MPP-Trackers:</t>
  </si>
  <si>
    <t>Stk</t>
  </si>
  <si>
    <t>MPP-Spanningsbereik</t>
  </si>
  <si>
    <t>SMILE 5 (2021)</t>
  </si>
  <si>
    <t>125-580</t>
  </si>
  <si>
    <t>125-550</t>
  </si>
  <si>
    <t>SMILE5-INV</t>
  </si>
  <si>
    <t>max. Stroom per MPP-Tracker:</t>
  </si>
  <si>
    <t>A</t>
  </si>
  <si>
    <t>Max. open circuit spanning (-20°C)</t>
  </si>
  <si>
    <t>SMILE 5 OPTIMIZED</t>
  </si>
  <si>
    <t>70-580</t>
  </si>
  <si>
    <t>70-540</t>
  </si>
  <si>
    <t>SMILE5 OPT-INV</t>
  </si>
  <si>
    <r>
      <t>Maximale stroom (I</t>
    </r>
    <r>
      <rPr>
        <vertAlign val="subscript"/>
        <sz val="11"/>
        <color theme="1"/>
        <rFont val="Arial"/>
        <family val="2"/>
      </rPr>
      <t>mpp NOCT</t>
    </r>
    <r>
      <rPr>
        <sz val="11"/>
        <color theme="1"/>
        <rFont val="Arial"/>
        <family val="2"/>
      </rPr>
      <t>)</t>
    </r>
  </si>
  <si>
    <t>SMILE-T10-HV</t>
  </si>
  <si>
    <t>200-1000</t>
  </si>
  <si>
    <t>200-850</t>
  </si>
  <si>
    <t>SMILE -T10-HV-INV</t>
  </si>
  <si>
    <t>SMILE-G3-S3.6</t>
  </si>
  <si>
    <t>100-580</t>
  </si>
  <si>
    <t>100-550</t>
  </si>
  <si>
    <t>PV-PANEEL</t>
  </si>
  <si>
    <t>String-Design B</t>
  </si>
  <si>
    <t>Storion OF5</t>
  </si>
  <si>
    <t>300-900</t>
  </si>
  <si>
    <t>250-800</t>
  </si>
  <si>
    <t>AEV-5048</t>
  </si>
  <si>
    <t>SMILE-i3</t>
  </si>
  <si>
    <t>SMILEB3-INV</t>
  </si>
  <si>
    <t>Wp</t>
  </si>
  <si>
    <t>SMILE T10 (2021)</t>
  </si>
  <si>
    <t>180-1000</t>
  </si>
  <si>
    <t>SMILE T10-INV</t>
  </si>
  <si>
    <t>Paneel fabrikant</t>
  </si>
  <si>
    <t>Montsol Black</t>
  </si>
  <si>
    <t>Storion T30</t>
  </si>
  <si>
    <t>-</t>
  </si>
  <si>
    <t>Type-aanduiding</t>
  </si>
  <si>
    <t>DSN 430 (STC)</t>
  </si>
  <si>
    <t>Storion T50</t>
  </si>
  <si>
    <t>500-900</t>
  </si>
  <si>
    <t>520-800</t>
  </si>
  <si>
    <t>Storion T100</t>
  </si>
  <si>
    <t>KENMERKEN PANEEL</t>
  </si>
  <si>
    <t>SCHEMATISCHE OPBOUW</t>
  </si>
  <si>
    <t>BESCHIKBARE LAAD-/ ONTLAADCAPACITEIT</t>
  </si>
  <si>
    <t>Nominaal vermogen (Pstc)</t>
  </si>
  <si>
    <t>Nominale spanning (Umpp)</t>
  </si>
  <si>
    <t>Externe PV-Omvormer</t>
  </si>
  <si>
    <t>Net</t>
  </si>
  <si>
    <t>Backup</t>
  </si>
  <si>
    <t>Fabrikant</t>
  </si>
  <si>
    <t>Type</t>
  </si>
  <si>
    <t>Pstc (Wp)</t>
  </si>
  <si>
    <t>Umpp (V)</t>
  </si>
  <si>
    <t>Impp (I)</t>
  </si>
  <si>
    <t>Uoc (V)</t>
  </si>
  <si>
    <t>Isc (I)</t>
  </si>
  <si>
    <t>TKp (%)</t>
  </si>
  <si>
    <t>TKu(%)</t>
  </si>
  <si>
    <t>TKi (%)</t>
  </si>
  <si>
    <t>Voorselectie</t>
  </si>
  <si>
    <t>Rij</t>
  </si>
  <si>
    <t>Nominale stroom (Impp)</t>
  </si>
  <si>
    <t>~</t>
  </si>
  <si>
    <t>Laden</t>
  </si>
  <si>
    <t>Open circuit spanning (Uoc)</t>
  </si>
  <si>
    <t>P-meter 2</t>
  </si>
  <si>
    <t>&lt;</t>
  </si>
  <si>
    <t>Ontladen</t>
  </si>
  <si>
    <t>Kortsluitstroom (Isc)</t>
  </si>
  <si>
    <t>=</t>
  </si>
  <si>
    <t>Ontladen (10s)</t>
  </si>
  <si>
    <t>Temperatuurcoëfficiënt:</t>
  </si>
  <si>
    <t>Maximaal vermogen (Pmax)</t>
  </si>
  <si>
    <t>% / K</t>
  </si>
  <si>
    <t>Openbaar Net</t>
  </si>
  <si>
    <t>DC Input</t>
  </si>
  <si>
    <t>P-meter 1</t>
  </si>
  <si>
    <t>AANBEVELING VOOR EIGEN VERBRUIK</t>
  </si>
  <si>
    <t>Verbruiker</t>
  </si>
  <si>
    <t>Energieverbruik</t>
  </si>
  <si>
    <t>Ø gem. dagelijks stroomverbruik</t>
  </si>
  <si>
    <t>Waarvan na zonsondergang</t>
  </si>
  <si>
    <t>%</t>
  </si>
  <si>
    <t>(Standaard op 40% ingesteld)</t>
  </si>
  <si>
    <t>Specifiek PV rendement</t>
  </si>
  <si>
    <t>kWh/kWp</t>
  </si>
  <si>
    <t>Geupdate op: 03 June 2024</t>
  </si>
  <si>
    <t>Aanbevolen installatie grootte</t>
  </si>
  <si>
    <t>kWp</t>
  </si>
  <si>
    <r>
      <t xml:space="preserve">De parameters van deze ontwerphulp houden rekening met aannames mbt de locatie, een gematigd klimaat en hoogtes tussen 0 en 1000m.  De reële werkingsparameters kunnen dus van dit model afwijken.
</t>
    </r>
    <r>
      <rPr>
        <b/>
        <sz val="11"/>
        <color theme="1"/>
        <rFont val="Arial"/>
        <family val="2"/>
      </rPr>
      <t>De omgevingsparamaters (oriëntatie van de PV panelen, klimatologische omstandigheden, etc) moeten door de ontwerper in rekening gebracht worden !</t>
    </r>
    <r>
      <rPr>
        <sz val="11"/>
        <color theme="1"/>
        <rFont val="Arial"/>
        <family val="2"/>
      </rPr>
      <t xml:space="preserve"> 
De technische gegevens van de opslagsystemen zijn deze zoals deze op de datum van het uitbrengen van de tool bekend waren.  Onder voorbehoud van fouten.</t>
    </r>
  </si>
  <si>
    <t>Aanbevolen batterij grootte</t>
  </si>
  <si>
    <t>Kwh</t>
  </si>
  <si>
    <t>*Deze String Design Tool is een creatie van een derde partij en is geen officieel product van AlphaESS. AlphaESS aanvaardt geen verantwoordelijkheid voor de nauwkeurigheid, betrouwbaarheid of functionaliteit van deze tool. Gebruikers wordt geadviseerd om het naar eigen goeddunken te gebruiken, en eventuele uitkomsten of gevolgen die voortvloeien uit het gebruik ervan vallen niet onder de verantwoordelijkheid van AlphaESS. Hoewel er inspanningen zijn gedaan om de betrouwbaarheid ervan te garanderen, onderschrijft of garandeert AlphaESS de prestaties van de tool niet. Voor officiële informatie en ondersteuning met betrekking tot AlphaESS-producten kunt u terecht bij de officiële kanalen van AlphaESS.</t>
  </si>
  <si>
    <t>Systeem</t>
  </si>
  <si>
    <t>Accu</t>
  </si>
  <si>
    <t>Spanning (V)</t>
  </si>
  <si>
    <t>Lading (A)</t>
  </si>
  <si>
    <t>Ontlading (A)</t>
  </si>
  <si>
    <t>Ontladen Backup (A)</t>
  </si>
  <si>
    <t>Brutto Capaciteit</t>
  </si>
  <si>
    <t>Netto Capaciteit</t>
  </si>
  <si>
    <t>Cel</t>
  </si>
  <si>
    <t>Deutsch</t>
  </si>
  <si>
    <t>Nederlands</t>
  </si>
  <si>
    <t>Français</t>
  </si>
  <si>
    <t>English</t>
  </si>
  <si>
    <t>$B$2</t>
  </si>
  <si>
    <t>Auslegungshilfe für AlphaESS Speichersysteme</t>
  </si>
  <si>
    <t>Ontwerphulp voor AlphaESS batterijsystemen</t>
  </si>
  <si>
    <t>Outil de conception des systèmes de batteries AlphaESS</t>
  </si>
  <si>
    <t>Design tool for AlphaESS battery systems</t>
  </si>
  <si>
    <t>$AT$2</t>
  </si>
  <si>
    <t>Bezichnung des Bauvorhabens</t>
  </si>
  <si>
    <t>Omschrijving van het project</t>
  </si>
  <si>
    <t>Description du projet</t>
  </si>
  <si>
    <t>Description of the project</t>
  </si>
  <si>
    <t>$E$7</t>
  </si>
  <si>
    <t>Speichersystem</t>
  </si>
  <si>
    <t>Batterij systeem</t>
  </si>
  <si>
    <t>Système</t>
  </si>
  <si>
    <t>Battery system</t>
  </si>
  <si>
    <t>$A$9</t>
  </si>
  <si>
    <t>Bitte stellen Sie Ihr System zusammen</t>
  </si>
  <si>
    <t>Gelieve uw systeem samen te stellen</t>
  </si>
  <si>
    <t>Veuillez composer votre système</t>
  </si>
  <si>
    <t>Please compose your system</t>
  </si>
  <si>
    <t>$A$11</t>
  </si>
  <si>
    <t>Speicher-Modell</t>
  </si>
  <si>
    <t>Modèle</t>
  </si>
  <si>
    <t>$A$12</t>
  </si>
  <si>
    <t>Akku-Modell</t>
  </si>
  <si>
    <t>Batterij type</t>
  </si>
  <si>
    <t>Type de batterie</t>
  </si>
  <si>
    <t>Battery type</t>
  </si>
  <si>
    <t>$A$14</t>
  </si>
  <si>
    <t>Nutzbare Speicherkapazität</t>
  </si>
  <si>
    <t>Bruikbare opslagcapaciteit</t>
  </si>
  <si>
    <t>Capacité de stockage utilisable</t>
  </si>
  <si>
    <t>Usable storage capacity</t>
  </si>
  <si>
    <t>$A$16</t>
  </si>
  <si>
    <t>Technische Daten</t>
  </si>
  <si>
    <t>Technische gegevens</t>
  </si>
  <si>
    <t>Données techniques</t>
  </si>
  <si>
    <t>Technical details</t>
  </si>
  <si>
    <t>$A$17</t>
  </si>
  <si>
    <t>AC-Nennleistung</t>
  </si>
  <si>
    <t>Nominaal AC vermogen</t>
  </si>
  <si>
    <t>Puissance nominale AC</t>
  </si>
  <si>
    <t>Rated AC power</t>
  </si>
  <si>
    <t>$A$18</t>
  </si>
  <si>
    <t>Maximale PV-Eingangsleistung</t>
  </si>
  <si>
    <t>Maximaal PV-ingangsvermogen</t>
  </si>
  <si>
    <t>Puissance d'entrée PV maximale</t>
  </si>
  <si>
    <t>Maximum PV input power</t>
  </si>
  <si>
    <t>$A$19</t>
  </si>
  <si>
    <t>Maximale PV-Leerlaufspannu</t>
  </si>
  <si>
    <t>Maximale PV nullastspanning</t>
  </si>
  <si>
    <t>Tension PV maximale</t>
  </si>
  <si>
    <t>Maximum PV no-load voltage</t>
  </si>
  <si>
    <t>$A$20</t>
  </si>
  <si>
    <t>PV-MPP-Bereich</t>
  </si>
  <si>
    <t>PV-MPP-Bereik</t>
  </si>
  <si>
    <t>Champ PV-MPP</t>
  </si>
  <si>
    <t>PV-MPP range</t>
  </si>
  <si>
    <t>$A$21</t>
  </si>
  <si>
    <t>Anzahl MPP-Tracker</t>
  </si>
  <si>
    <t>Aantal MPP-trackers</t>
  </si>
  <si>
    <t>Nombre de trackers MPP</t>
  </si>
  <si>
    <t>Number of MPP trackers</t>
  </si>
  <si>
    <t>$A$22</t>
  </si>
  <si>
    <t>Max. Strom pro MPP-Tracker</t>
  </si>
  <si>
    <t>Maximale stroom per MPP-tracker</t>
  </si>
  <si>
    <t>Le flux maximum par MPP Tracker</t>
  </si>
  <si>
    <t>Maximum power per MPP tracker</t>
  </si>
  <si>
    <t>$D$26</t>
  </si>
  <si>
    <t>Verwendeter PV-Modultyp</t>
  </si>
  <si>
    <t>Gebruikt type PV-paneel</t>
  </si>
  <si>
    <t>Type de panneau photovoltaïque utilisé</t>
  </si>
  <si>
    <t>Type of PV panel used</t>
  </si>
  <si>
    <t>$A$29</t>
  </si>
  <si>
    <t>Modulhersteller</t>
  </si>
  <si>
    <t>Fabrikant van de panelen</t>
  </si>
  <si>
    <t>Fabricant des panneaux</t>
  </si>
  <si>
    <t>Manufacterer of the panels</t>
  </si>
  <si>
    <t>$A$30</t>
  </si>
  <si>
    <t>Typenbezeichnung</t>
  </si>
  <si>
    <t>Désignation</t>
  </si>
  <si>
    <t>Type designation</t>
  </si>
  <si>
    <t>$E$33</t>
  </si>
  <si>
    <t>Modul Kenndaten</t>
  </si>
  <si>
    <t>Kenmerken van het PV paneel</t>
  </si>
  <si>
    <t>Caractéristiques du panneau photovoltaïque</t>
  </si>
  <si>
    <t>Characteristics of the PV panel</t>
  </si>
  <si>
    <t>$A$36</t>
  </si>
  <si>
    <t>Nennleistung</t>
  </si>
  <si>
    <t>Nominaal vermogen</t>
  </si>
  <si>
    <t>Puissance nominale</t>
  </si>
  <si>
    <t>Rated power</t>
  </si>
  <si>
    <t>$A$38</t>
  </si>
  <si>
    <t>Nennspannung</t>
  </si>
  <si>
    <t>Nominale spanning</t>
  </si>
  <si>
    <t>Tension nominale</t>
  </si>
  <si>
    <t>Rated voltage</t>
  </si>
  <si>
    <t>$A$39</t>
  </si>
  <si>
    <t>Nennstrom</t>
  </si>
  <si>
    <t>Nominale stroom</t>
  </si>
  <si>
    <t>Flux nominale</t>
  </si>
  <si>
    <t>Rated current</t>
  </si>
  <si>
    <t>$A$49</t>
  </si>
  <si>
    <t>Leerlaufspannung</t>
  </si>
  <si>
    <t>Open circuit spanning</t>
  </si>
  <si>
    <t>Tension de circuit ouvert</t>
  </si>
  <si>
    <t>Open circuit voltage</t>
  </si>
  <si>
    <t>$A$41</t>
  </si>
  <si>
    <t>Kurzschlussstrom</t>
  </si>
  <si>
    <t>Kortsluitstroom</t>
  </si>
  <si>
    <t>Courant de court-circuit</t>
  </si>
  <si>
    <t>Short-circuit power</t>
  </si>
  <si>
    <t>$A$43</t>
  </si>
  <si>
    <t>Temperaturkoeffizienten</t>
  </si>
  <si>
    <t>Temperatuurcoëfficiënten</t>
  </si>
  <si>
    <t>Coefficients de température</t>
  </si>
  <si>
    <t>Temperature coefficients</t>
  </si>
  <si>
    <t>$A$45</t>
  </si>
  <si>
    <t>Leistung</t>
  </si>
  <si>
    <t>Prestatie</t>
  </si>
  <si>
    <t>Performance</t>
  </si>
  <si>
    <t>$A$46</t>
  </si>
  <si>
    <t>$A$47</t>
  </si>
  <si>
    <t>$D$50</t>
  </si>
  <si>
    <t>Empfehlung für Eigenversorgung</t>
  </si>
  <si>
    <t>Aanbeveling voor eigenverbruik</t>
  </si>
  <si>
    <t>Recommandation pour la consommation propre</t>
  </si>
  <si>
    <t>Recommendation for self consumption</t>
  </si>
  <si>
    <t>$A$53</t>
  </si>
  <si>
    <t>Strombedarf</t>
  </si>
  <si>
    <t>Consommation d'énergie</t>
  </si>
  <si>
    <t>Energy consumption</t>
  </si>
  <si>
    <t>$A$54</t>
  </si>
  <si>
    <t>tgl. Strombedarf</t>
  </si>
  <si>
    <t>gemiddeld dagelijks stroomverbruik</t>
  </si>
  <si>
    <t>la consommation quotidienne moyenne d'électricité</t>
  </si>
  <si>
    <t>Average daily power consumption</t>
  </si>
  <si>
    <t>$A$55</t>
  </si>
  <si>
    <t>Davon nach Sonnenuntergang</t>
  </si>
  <si>
    <t>Dont après le coucher du soleil</t>
  </si>
  <si>
    <t>Of which after sunset</t>
  </si>
  <si>
    <t>$A$56</t>
  </si>
  <si>
    <t>Standardeinstellung ca 40%</t>
  </si>
  <si>
    <t>standaard op 40% ingesteld</t>
  </si>
  <si>
    <t>fixé à 40% par défaut</t>
  </si>
  <si>
    <t>Set to 40% by default</t>
  </si>
  <si>
    <t>$A$57</t>
  </si>
  <si>
    <t>spezifischer PV-Ertrag</t>
  </si>
  <si>
    <t>Specifiek PV Rendement</t>
  </si>
  <si>
    <t>Rendement PV spécifique</t>
  </si>
  <si>
    <t>Specific PV efficiency</t>
  </si>
  <si>
    <t>$A$59</t>
  </si>
  <si>
    <t xml:space="preserve">Empfohlen Anlagengröße </t>
  </si>
  <si>
    <t>Aanbevolen installatiegrootte</t>
  </si>
  <si>
    <t>Taille d'installation recommandée</t>
  </si>
  <si>
    <t>Recommended installation size</t>
  </si>
  <si>
    <t>$A$69</t>
  </si>
  <si>
    <t>Empfohlen Speichergröße</t>
  </si>
  <si>
    <t>Taille de batterie recommandée</t>
  </si>
  <si>
    <t>Recommended battery size</t>
  </si>
  <si>
    <t>$A$T7</t>
  </si>
  <si>
    <t>Modulverschaltung</t>
  </si>
  <si>
    <t>Module aansluiting</t>
  </si>
  <si>
    <t>Connexion des modules</t>
  </si>
  <si>
    <t>Module connection</t>
  </si>
  <si>
    <t>$AB$10</t>
  </si>
  <si>
    <t>Hinweise</t>
  </si>
  <si>
    <t>Opmerking</t>
  </si>
  <si>
    <t>Remarque</t>
  </si>
  <si>
    <t>Remark</t>
  </si>
  <si>
    <t>$AB$18</t>
  </si>
  <si>
    <t>Resultat</t>
  </si>
  <si>
    <t>Resultaat</t>
  </si>
  <si>
    <t>Résultat</t>
  </si>
  <si>
    <t>Result</t>
  </si>
  <si>
    <t>$S$20</t>
  </si>
  <si>
    <t>Eingangsleistung</t>
  </si>
  <si>
    <t>Ingangsvermogen</t>
  </si>
  <si>
    <t>Puissance d'entrée</t>
  </si>
  <si>
    <t>Input power</t>
  </si>
  <si>
    <t>$S$21</t>
  </si>
  <si>
    <t>MPP-Spannungsbereich</t>
  </si>
  <si>
    <t>MPP Gamme de tension</t>
  </si>
  <si>
    <t>MPP voltage range</t>
  </si>
  <si>
    <t>$S$22</t>
  </si>
  <si>
    <t>Max. Leerlaufsspannung</t>
  </si>
  <si>
    <t>Maximale open circuit spanning</t>
  </si>
  <si>
    <t>Tension maximale en circuit ouvert</t>
  </si>
  <si>
    <t>Maximum open circuit voltage</t>
  </si>
  <si>
    <t>$A$23</t>
  </si>
  <si>
    <t>Max. Arbeitsstrom</t>
  </si>
  <si>
    <t>Maximale stroom</t>
  </si>
  <si>
    <t xml:space="preserve">Courant maximal </t>
  </si>
  <si>
    <t>Maximum power</t>
  </si>
  <si>
    <t>$BG$10</t>
  </si>
  <si>
    <t>Zusammenfassung</t>
  </si>
  <si>
    <t>Samenvatting</t>
  </si>
  <si>
    <t>Résumé</t>
  </si>
  <si>
    <t>Summary</t>
  </si>
  <si>
    <t>$AS$12</t>
  </si>
  <si>
    <t>Module in AC-Kopplung</t>
  </si>
  <si>
    <t>Module connexion AC</t>
  </si>
  <si>
    <t>Module in AC coupling</t>
  </si>
  <si>
    <t>$BD$12</t>
  </si>
  <si>
    <t>Module Gesamt</t>
  </si>
  <si>
    <t>Modules totaal</t>
  </si>
  <si>
    <t>Total des modules</t>
  </si>
  <si>
    <t>Total modules</t>
  </si>
  <si>
    <t>$BL$12</t>
  </si>
  <si>
    <t>DC-Eingänge</t>
  </si>
  <si>
    <t>DC-ingangen</t>
  </si>
  <si>
    <t>Entrées DC</t>
  </si>
  <si>
    <t>DC inputs</t>
  </si>
  <si>
    <t>$BS$12</t>
  </si>
  <si>
    <t>PV-Leistung Gesamt</t>
  </si>
  <si>
    <t>Production totale de PV</t>
  </si>
  <si>
    <t>Total PV output</t>
  </si>
  <si>
    <t>$BG$18</t>
  </si>
  <si>
    <t>String-Design A</t>
  </si>
  <si>
    <t>String Ontwerp A</t>
  </si>
  <si>
    <t>String Design A</t>
  </si>
  <si>
    <t>$BW$18</t>
  </si>
  <si>
    <t>aktivieren</t>
  </si>
  <si>
    <t>activeren</t>
  </si>
  <si>
    <t>activer</t>
  </si>
  <si>
    <t>Activate</t>
  </si>
  <si>
    <t>$AS$20</t>
  </si>
  <si>
    <t>Anzahl Module in Strang</t>
  </si>
  <si>
    <t>Aantal modulen in string</t>
  </si>
  <si>
    <t>Nombre de modules dans le string</t>
  </si>
  <si>
    <t>Number of modules in string</t>
  </si>
  <si>
    <t>$BC$20</t>
  </si>
  <si>
    <t>Anzahl Stränge parallel</t>
  </si>
  <si>
    <t>Aantal strings parallel</t>
  </si>
  <si>
    <t>Nombre de strings parallèles</t>
  </si>
  <si>
    <t>Number of strings in parallel</t>
  </si>
  <si>
    <t>$BL$20</t>
  </si>
  <si>
    <t>Anzahl belegter DC-Eingänge</t>
  </si>
  <si>
    <t>Nombre d'entrées DC occupées</t>
  </si>
  <si>
    <t>Number DC inputs taken</t>
  </si>
  <si>
    <t>$BW$20</t>
  </si>
  <si>
    <t>Summe Module</t>
  </si>
  <si>
    <t>Nombre total de panels</t>
  </si>
  <si>
    <t>Total number of inputs</t>
  </si>
  <si>
    <t>$BG$26</t>
  </si>
  <si>
    <t>String Ontwerp B</t>
  </si>
  <si>
    <t>String Design B</t>
  </si>
  <si>
    <t>String design B</t>
  </si>
  <si>
    <t>$AF$35</t>
  </si>
  <si>
    <t>Schematischer Aufbau der Stromversorgung</t>
  </si>
  <si>
    <t>Schematische opbouw van de stroomvoorziening</t>
  </si>
  <si>
    <t>Structure schématique</t>
  </si>
  <si>
    <t>Schematic structure of the power supply</t>
  </si>
  <si>
    <t>$R$45</t>
  </si>
  <si>
    <t>öffentliches Netz</t>
  </si>
  <si>
    <t>Réseaux publics</t>
  </si>
  <si>
    <t>Public grid</t>
  </si>
  <si>
    <t>$AC$52</t>
  </si>
  <si>
    <t>Verbraucher</t>
  </si>
  <si>
    <t>Verbruikers</t>
  </si>
  <si>
    <t>Consommateurs</t>
  </si>
  <si>
    <t>Users</t>
  </si>
  <si>
    <t>$AJ$38</t>
  </si>
  <si>
    <t>Externer PV-Wechselrichter</t>
  </si>
  <si>
    <t>Onduleur PV externe</t>
  </si>
  <si>
    <t>External PV inverter</t>
  </si>
  <si>
    <t>$BO$35</t>
  </si>
  <si>
    <t>Verfügbare Lade/Entladeleistung</t>
  </si>
  <si>
    <t>Beschikbare laad-/ontlaadcapaciteit</t>
  </si>
  <si>
    <t>Capacité de charge/décharge disponible</t>
  </si>
  <si>
    <t>Available charge/discharge power</t>
  </si>
  <si>
    <t>$BP$54</t>
  </si>
  <si>
    <t>Netz</t>
  </si>
  <si>
    <t>Réseau</t>
  </si>
  <si>
    <t>Grid</t>
  </si>
  <si>
    <t>$BX$54</t>
  </si>
  <si>
    <t>$BP$55</t>
  </si>
  <si>
    <t xml:space="preserve">Laden </t>
  </si>
  <si>
    <t>Charger</t>
  </si>
  <si>
    <t>Charge</t>
  </si>
  <si>
    <t>$BS$55</t>
  </si>
  <si>
    <t>Entladen</t>
  </si>
  <si>
    <t>Décharger</t>
  </si>
  <si>
    <t>Discharge</t>
  </si>
  <si>
    <t>st</t>
  </si>
  <si>
    <t>pcs</t>
  </si>
  <si>
    <t>ja</t>
  </si>
  <si>
    <t>Oui</t>
  </si>
  <si>
    <t>Yes</t>
  </si>
  <si>
    <t>nein</t>
  </si>
  <si>
    <t>neen</t>
  </si>
  <si>
    <t>Non</t>
  </si>
  <si>
    <t>No</t>
  </si>
  <si>
    <t>$Q$58</t>
  </si>
  <si>
    <t>Die Parameter dieser Auslegungshilfe…</t>
  </si>
  <si>
    <t>De parameters van deze ontwerphulp houden rekening met aannames mbt de locatie, een gematigd klimaat en hoogtes tussen 0 en 1000m.  De reële werkingsparameters kunnen dus van dit model afwijken.</t>
  </si>
  <si>
    <t>Les paramètres de cette outil de conception prennent en compte les hypothèses du site, le climat tempéré et les altitudes comprises entre 0 et 1000m.  Les paramètres de fonctionnement réels peuvent donc varier de ce modèle.</t>
  </si>
  <si>
    <t>The parameters of this design tool take into account site assumptions, moderate climate and altitudes between 0 and 1000m.  The actual operating parameters may therefore deviate from this model.</t>
  </si>
  <si>
    <t>$Q$60</t>
  </si>
  <si>
    <t>Die örtlichen Gegebenheiten…</t>
  </si>
  <si>
    <t>De omgevingsparamaters (oriëntatie van de PV panelen, klimatologische omstandigheden, etc) moeten door de ontwerper in rekening gebracht worden !</t>
  </si>
  <si>
    <t>Les paramètres environnementaux (orientation des panneaux PV, conditions climatiques, etc.) doivent être pris en compte par le concepteur !</t>
  </si>
  <si>
    <t>The environmental parameters (orientation of the PV panels, climate conditions, etc) must be taken into account by the designer !</t>
  </si>
  <si>
    <t>$Q$61</t>
  </si>
  <si>
    <t>Die technische Daten..</t>
  </si>
  <si>
    <t>De technische gegevens van de opslagsystemen zijn deze zoals deze op de datum van het uitbrengen van de tool bekend waren.  Onder voorbehoud van fouten.</t>
  </si>
  <si>
    <t>Les données techniques des systèmes de stockage sont telles qu'elles étaient connues à la date de lancement de l'outil.  Sous réserve d'erreurs.</t>
  </si>
  <si>
    <t>The technical data of the storage systems are as they were known on the date of release of the tool.  Subject to errors.</t>
  </si>
  <si>
    <t>Impp (A)</t>
  </si>
  <si>
    <t>Isc (A)</t>
  </si>
  <si>
    <t>Converter voor temperatuurcoëfficiënten</t>
  </si>
  <si>
    <t>DSN 435 (STC)</t>
  </si>
  <si>
    <t>Referentiewaarden</t>
  </si>
  <si>
    <t>Absoluut</t>
  </si>
  <si>
    <t>DSN 440 (STC)</t>
  </si>
  <si>
    <t>Capaciteit</t>
  </si>
  <si>
    <t>DSN 445 (STC)</t>
  </si>
  <si>
    <t>DSN 450 (STC)</t>
  </si>
  <si>
    <t>DSN 430 (BSTC)</t>
  </si>
  <si>
    <t>DSN 435 (BSTC)</t>
  </si>
  <si>
    <t>Als de temperatuurcoëfficiënten niet in het gegevensblad in% / K zijn gespecificeerd, kunt u ze hier omrekenen.</t>
  </si>
  <si>
    <t>DSN 440 (BSTC)</t>
  </si>
  <si>
    <t>DSN 445 (BSTC)</t>
  </si>
  <si>
    <t>DSN 450 (BSTC)</t>
  </si>
  <si>
    <t>System</t>
  </si>
  <si>
    <t>Diepte van ontlading</t>
  </si>
  <si>
    <t>Omvormer</t>
  </si>
  <si>
    <t>SMILE5-BAT</t>
  </si>
  <si>
    <t>M4856-P</t>
  </si>
  <si>
    <t>M4859-P</t>
  </si>
  <si>
    <t>BAT-8.2 PH</t>
  </si>
  <si>
    <t>BAT-3.8S</t>
  </si>
  <si>
    <t>M4860</t>
  </si>
  <si>
    <t>M48112-P</t>
  </si>
  <si>
    <t>Storion S5</t>
  </si>
  <si>
    <t>Storion ECO S5</t>
  </si>
  <si>
    <t>Storion ECO ES5</t>
  </si>
  <si>
    <t>Storion T5</t>
  </si>
  <si>
    <t>M15020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</si>
</sst>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 #,##0.00_-;_-* &quot;-&quot;??_-;_-@_-"/>
    <numFmt numFmtId="165" formatCode="_-* #,##0.00\ &quot;€&quot;_-;\-* #,##0.00\ &quot;€&quot;_-;_-* &quot;-&quot;??\ &quot;€&quot;_-;_-@_-"/>
    <numFmt numFmtId="166" formatCode="#,##0.00\ &quot;€&quot;"/>
    <numFmt numFmtId="167" formatCode="#,##0\ &quot;Wp&quot;"/>
    <numFmt numFmtId="168" formatCode="#,##0.0\ &quot;KWp&quot;"/>
    <numFmt numFmtId="169" formatCode="0.0"/>
    <numFmt numFmtId="170" formatCode="0.00\ \V"/>
    <numFmt numFmtId="171" formatCode="0.00\ \A"/>
    <numFmt numFmtId="172" formatCode="0\ \W\p"/>
    <numFmt numFmtId="173" formatCode="0\ &quot;mV/K&quot;"/>
    <numFmt numFmtId="174" formatCode="0.00\ &quot;mA/K&quot;"/>
    <numFmt numFmtId="175" formatCode="0.00\ &quot;W/K&quot;"/>
    <numFmt numFmtId="176" formatCode="0.00\ %&quot;/K&quot;"/>
    <numFmt numFmtId="177" formatCode="0.000"/>
    <numFmt numFmtId="178" formatCode="0.0000"/>
    <numFmt numFmtId="179" formatCode="0.0\ &quot;kW&quot;"/>
  </numFmts>
  <fonts count="40" x14ac:knownFonts="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theme="1"/>
      <name val="Arial"/>
      <family val="2"/>
    </font>
    <font>
      <sz val="10"/>
      <color theme="0"/>
      <name val="Arial"/>
      <family val="2"/>
    </font>
    <font>
      <b/>
      <sz val="17"/>
      <color theme="0"/>
      <name val="Arial"/>
      <family val="2"/>
    </font>
    <font>
      <b/>
      <sz val="17"/>
      <color theme="1"/>
      <name val="Arial"/>
      <family val="2"/>
    </font>
    <font>
      <sz val="12"/>
      <color theme="0"/>
      <name val="Arial"/>
      <family val="2"/>
    </font>
    <font>
      <sz val="10"/>
      <color theme="1"/>
      <name val="Arial"/>
      <family val="2"/>
    </font>
    <font>
      <b/>
      <sz val="12"/>
      <color theme="0"/>
      <name val="Arial"/>
      <family val="2"/>
    </font>
    <font>
      <b/>
      <sz val="10"/>
      <color theme="1"/>
      <name val="Arial"/>
      <family val="2"/>
    </font>
    <font>
      <b/>
      <sz val="11"/>
      <color theme="1"/>
      <name val="Arial"/>
      <family val="2"/>
    </font>
    <font>
      <vertAlign val="subscript"/>
      <sz val="10"/>
      <color theme="1"/>
      <name val="Arial"/>
      <family val="2"/>
    </font>
    <font>
      <b/>
      <sz val="10"/>
      <color rgb="FF9C6500"/>
      <name val="Arial"/>
      <family val="2"/>
    </font>
    <font>
      <b/>
      <sz val="20"/>
      <color theme="1"/>
      <name val="Arial"/>
      <family val="2"/>
    </font>
    <font>
      <sz val="20"/>
      <color theme="1"/>
      <name val="Arial"/>
      <family val="2"/>
    </font>
    <font>
      <b/>
      <sz val="10"/>
      <color rgb="FF9C0006"/>
      <name val="Arial"/>
      <family val="2"/>
    </font>
    <font>
      <i/>
      <sz val="10"/>
      <color rgb="FFFF0000"/>
      <name val="Arial"/>
      <family val="2"/>
    </font>
    <font>
      <b/>
      <sz val="11"/>
      <color rgb="FFFF0000"/>
      <name val="Arial"/>
      <family val="2"/>
    </font>
    <font>
      <b/>
      <sz val="36"/>
      <color theme="1"/>
      <name val="Arial"/>
      <family val="2"/>
    </font>
    <font>
      <b/>
      <sz val="11"/>
      <color theme="0"/>
      <name val="Arial"/>
      <family val="2"/>
    </font>
    <font>
      <sz val="10"/>
      <name val="Arial"/>
      <family val="2"/>
    </font>
    <font>
      <sz val="10"/>
      <color rgb="FFFF0000"/>
      <name val="Arial"/>
      <family val="2"/>
    </font>
    <font>
      <sz val="11"/>
      <color theme="0"/>
      <name val="Calibri"/>
      <family val="2"/>
      <scheme val="minor"/>
    </font>
    <font>
      <sz val="11"/>
      <color rgb="FFFF0000"/>
      <name val="Calibri"/>
      <family val="2"/>
      <scheme val="minor"/>
    </font>
    <font>
      <sz val="11"/>
      <color theme="0"/>
      <name val="Arial"/>
      <family val="2"/>
    </font>
    <font>
      <b/>
      <sz val="20"/>
      <color theme="0"/>
      <name val="Arial"/>
      <family val="2"/>
    </font>
    <font>
      <sz val="30"/>
      <color theme="1"/>
      <name val="Arial"/>
      <family val="2"/>
    </font>
    <font>
      <sz val="11"/>
      <name val="Arial"/>
      <family val="2"/>
    </font>
    <font>
      <vertAlign val="subscript"/>
      <sz val="11"/>
      <color theme="1"/>
      <name val="Arial"/>
      <family val="2"/>
    </font>
    <font>
      <sz val="11"/>
      <color rgb="FFFF0000"/>
      <name val="Arial"/>
      <family val="2"/>
    </font>
    <font>
      <b/>
      <sz val="11"/>
      <color theme="1"/>
      <name val="Calibri"/>
      <family val="2"/>
      <scheme val="minor"/>
    </font>
    <font>
      <i/>
      <sz val="11"/>
      <color theme="1"/>
      <name val="Calibri"/>
      <family val="2"/>
      <scheme val="minor"/>
    </font>
    <font>
      <b/>
      <sz val="18"/>
      <color theme="1"/>
      <name val="Arial"/>
      <family val="2"/>
    </font>
    <font>
      <sz val="18"/>
      <color theme="1"/>
      <name val="Arial"/>
      <family val="2"/>
    </font>
    <font>
      <sz val="11"/>
      <name val="Calibri"/>
      <family val="2"/>
      <scheme val="minor"/>
    </font>
    <font>
      <b/>
      <u/>
      <sz val="10"/>
      <color theme="1"/>
      <name val="Arial"/>
      <family val="2"/>
    </font>
    <font>
      <b/>
      <sz val="28"/>
      <color theme="0"/>
      <name val="Arial"/>
      <family val="2"/>
    </font>
  </fonts>
  <fills count="13">
    <fill>
      <patternFill patternType="none"/>
    </fill>
    <fill>
      <patternFill patternType="gray125"/>
    </fill>
    <fill>
      <patternFill patternType="solid">
        <fgColor rgb="FFFFC7CE"/>
      </patternFill>
    </fill>
    <fill>
      <patternFill patternType="solid">
        <fgColor rgb="FFFFEB9C"/>
      </patternFill>
    </fill>
    <fill>
      <patternFill patternType="solid">
        <fgColor rgb="FFF2F2F2"/>
      </patternFill>
    </fill>
    <fill>
      <patternFill patternType="solid">
        <fgColor rgb="FF3F3F3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1" tint="0.499984740745262"/>
        <bgColor indexed="64"/>
      </patternFill>
    </fill>
    <fill>
      <patternFill patternType="solid">
        <fgColor rgb="FFF7B12A"/>
        <bgColor indexed="64"/>
      </patternFill>
    </fill>
    <fill>
      <patternFill patternType="solid">
        <fgColor theme="1" tint="0.249977111117893"/>
        <bgColor indexed="64"/>
      </patternFill>
    </fill>
  </fills>
  <borders count="94">
    <border>
      <left/>
      <right/>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diagonal/>
    </border>
    <border>
      <left/>
      <right style="thin">
        <color theme="0" tint="-0.24994659260841701"/>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dotted">
        <color auto="1"/>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otted">
        <color indexed="64"/>
      </left>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style="thin">
        <color theme="0"/>
      </top>
      <bottom/>
      <diagonal/>
    </border>
    <border>
      <left style="thin">
        <color theme="0"/>
      </left>
      <right/>
      <top/>
      <bottom/>
      <diagonal/>
    </border>
    <border>
      <left style="thin">
        <color theme="0"/>
      </left>
      <right/>
      <top style="medium">
        <color indexed="64"/>
      </top>
      <bottom/>
      <diagonal/>
    </border>
    <border>
      <left/>
      <right style="thin">
        <color theme="0"/>
      </right>
      <top style="medium">
        <color indexed="64"/>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dotted">
        <color indexed="64"/>
      </right>
      <top/>
      <bottom/>
      <diagonal/>
    </border>
    <border>
      <left style="dotted">
        <color indexed="64"/>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style="medium">
        <color indexed="64"/>
      </bottom>
      <diagonal/>
    </border>
    <border>
      <left style="dotted">
        <color auto="1"/>
      </left>
      <right/>
      <top/>
      <bottom style="dotted">
        <color auto="1"/>
      </bottom>
      <diagonal/>
    </border>
    <border>
      <left/>
      <right style="dotted">
        <color auto="1"/>
      </right>
      <top/>
      <bottom style="dotted">
        <color auto="1"/>
      </bottom>
      <diagonal/>
    </border>
    <border>
      <left/>
      <right style="dotted">
        <color indexed="64"/>
      </right>
      <top style="medium">
        <color indexed="64"/>
      </top>
      <bottom/>
      <diagonal/>
    </border>
    <border>
      <left/>
      <right/>
      <top style="thin">
        <color theme="0"/>
      </top>
      <bottom style="thin">
        <color theme="0"/>
      </bottom>
      <diagonal/>
    </border>
    <border>
      <left/>
      <right style="medium">
        <color indexed="64"/>
      </right>
      <top/>
      <bottom style="dotted">
        <color auto="1"/>
      </bottom>
      <diagonal/>
    </border>
    <border>
      <left/>
      <right/>
      <top style="thin">
        <color theme="0" tint="-0.24994659260841701"/>
      </top>
      <bottom/>
      <diagonal/>
    </border>
    <border>
      <left/>
      <right/>
      <top style="thin">
        <color theme="0" tint="-0.24994659260841701"/>
      </top>
      <bottom style="thin">
        <color theme="0" tint="-0.499984740745262"/>
      </bottom>
      <diagonal/>
    </border>
  </borders>
  <cellStyleXfs count="9">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164" fontId="1" fillId="0" borderId="0" applyFont="0" applyFill="0" applyBorder="0" applyAlignment="0" applyProtection="0"/>
    <xf numFmtId="165" fontId="23" fillId="0" borderId="0" applyFont="0" applyFill="0" applyBorder="0" applyAlignment="0" applyProtection="0"/>
    <xf numFmtId="9" fontId="23" fillId="0" borderId="0" applyFont="0" applyFill="0" applyBorder="0" applyAlignment="0" applyProtection="0"/>
    <xf numFmtId="0" fontId="23" fillId="0" borderId="0"/>
  </cellStyleXfs>
  <cellXfs count="372">
    <xf numFmtId="0" fontId="0" fillId="0" borderId="0" xfId="0"/>
    <xf numFmtId="0" fontId="5" fillId="6" borderId="0" xfId="0" applyFont="1" applyFill="1" applyProtection="1">
      <protection hidden="1"/>
    </xf>
    <xf numFmtId="0" fontId="5" fillId="6" borderId="0" xfId="0" applyFont="1" applyFill="1" applyAlignment="1" applyProtection="1">
      <alignment horizontal="right"/>
      <protection hidden="1"/>
    </xf>
    <xf numFmtId="0" fontId="10" fillId="6" borderId="0" xfId="0" applyFont="1" applyFill="1" applyProtection="1">
      <protection hidden="1"/>
    </xf>
    <xf numFmtId="0" fontId="5" fillId="6" borderId="5" xfId="0" applyFont="1" applyFill="1" applyBorder="1" applyProtection="1">
      <protection hidden="1"/>
    </xf>
    <xf numFmtId="0" fontId="10" fillId="6" borderId="6" xfId="0" applyFont="1" applyFill="1" applyBorder="1" applyProtection="1">
      <protection hidden="1"/>
    </xf>
    <xf numFmtId="0" fontId="13" fillId="7" borderId="8" xfId="0" applyFont="1" applyFill="1" applyBorder="1" applyProtection="1">
      <protection hidden="1"/>
    </xf>
    <xf numFmtId="0" fontId="5" fillId="6" borderId="13" xfId="0" applyFont="1" applyFill="1" applyBorder="1" applyProtection="1">
      <protection hidden="1"/>
    </xf>
    <xf numFmtId="0" fontId="5" fillId="6" borderId="14" xfId="0" applyFont="1" applyFill="1" applyBorder="1" applyProtection="1">
      <protection hidden="1"/>
    </xf>
    <xf numFmtId="0" fontId="13" fillId="6" borderId="0" xfId="0" applyFont="1" applyFill="1" applyAlignment="1" applyProtection="1">
      <alignment horizontal="right"/>
      <protection hidden="1"/>
    </xf>
    <xf numFmtId="0" fontId="10" fillId="6" borderId="5" xfId="0" applyFont="1" applyFill="1" applyBorder="1" applyProtection="1">
      <protection hidden="1"/>
    </xf>
    <xf numFmtId="0" fontId="10" fillId="0" borderId="0" xfId="0" applyFont="1" applyProtection="1">
      <protection hidden="1"/>
    </xf>
    <xf numFmtId="0" fontId="13" fillId="6" borderId="0" xfId="0" applyFont="1" applyFill="1" applyProtection="1">
      <protection hidden="1"/>
    </xf>
    <xf numFmtId="0" fontId="5" fillId="6" borderId="22" xfId="0" applyFont="1" applyFill="1" applyBorder="1" applyProtection="1">
      <protection hidden="1"/>
    </xf>
    <xf numFmtId="0" fontId="5" fillId="6" borderId="23" xfId="0" applyFont="1" applyFill="1" applyBorder="1" applyProtection="1">
      <protection hidden="1"/>
    </xf>
    <xf numFmtId="0" fontId="5" fillId="6" borderId="24" xfId="0" applyFont="1" applyFill="1" applyBorder="1" applyProtection="1">
      <protection hidden="1"/>
    </xf>
    <xf numFmtId="0" fontId="5" fillId="7" borderId="8" xfId="0" applyFont="1" applyFill="1" applyBorder="1" applyProtection="1">
      <protection hidden="1"/>
    </xf>
    <xf numFmtId="0" fontId="5" fillId="6" borderId="25" xfId="0" applyFont="1" applyFill="1" applyBorder="1" applyProtection="1">
      <protection hidden="1"/>
    </xf>
    <xf numFmtId="0" fontId="5" fillId="6" borderId="26" xfId="0" applyFont="1" applyFill="1" applyBorder="1" applyProtection="1">
      <protection hidden="1"/>
    </xf>
    <xf numFmtId="0" fontId="5" fillId="6" borderId="27" xfId="0" applyFont="1" applyFill="1" applyBorder="1" applyProtection="1">
      <protection hidden="1"/>
    </xf>
    <xf numFmtId="0" fontId="5" fillId="6" borderId="28" xfId="0" applyFont="1" applyFill="1" applyBorder="1" applyProtection="1">
      <protection hidden="1"/>
    </xf>
    <xf numFmtId="0" fontId="5" fillId="6" borderId="29" xfId="0" applyFont="1" applyFill="1" applyBorder="1" applyProtection="1">
      <protection hidden="1"/>
    </xf>
    <xf numFmtId="2" fontId="5" fillId="6" borderId="0" xfId="0" applyNumberFormat="1" applyFont="1" applyFill="1" applyAlignment="1" applyProtection="1">
      <alignment horizontal="center"/>
      <protection hidden="1"/>
    </xf>
    <xf numFmtId="0" fontId="10" fillId="6" borderId="19" xfId="0" applyFont="1" applyFill="1" applyBorder="1" applyProtection="1">
      <protection hidden="1"/>
    </xf>
    <xf numFmtId="0" fontId="10" fillId="6" borderId="18" xfId="0" applyFont="1" applyFill="1" applyBorder="1" applyProtection="1">
      <protection hidden="1"/>
    </xf>
    <xf numFmtId="0" fontId="5" fillId="6" borderId="18" xfId="0" applyFont="1" applyFill="1" applyBorder="1" applyProtection="1">
      <protection hidden="1"/>
    </xf>
    <xf numFmtId="0" fontId="10" fillId="6" borderId="20" xfId="0" applyFont="1" applyFill="1" applyBorder="1" applyProtection="1">
      <protection hidden="1"/>
    </xf>
    <xf numFmtId="0" fontId="5" fillId="6" borderId="6" xfId="0" applyFont="1" applyFill="1" applyBorder="1" applyProtection="1">
      <protection hidden="1"/>
    </xf>
    <xf numFmtId="0" fontId="10" fillId="6" borderId="13" xfId="0" applyFont="1" applyFill="1" applyBorder="1" applyProtection="1">
      <protection hidden="1"/>
    </xf>
    <xf numFmtId="0" fontId="13" fillId="6" borderId="14" xfId="0" applyFont="1" applyFill="1" applyBorder="1" applyProtection="1">
      <protection hidden="1"/>
    </xf>
    <xf numFmtId="0" fontId="5" fillId="6" borderId="20" xfId="0" applyFont="1" applyFill="1" applyBorder="1" applyProtection="1">
      <protection hidden="1"/>
    </xf>
    <xf numFmtId="9" fontId="21" fillId="6" borderId="14" xfId="1" applyFont="1" applyFill="1" applyBorder="1" applyAlignment="1" applyProtection="1">
      <protection hidden="1"/>
    </xf>
    <xf numFmtId="9" fontId="21" fillId="6" borderId="24" xfId="1" applyFont="1" applyFill="1" applyBorder="1" applyAlignment="1" applyProtection="1">
      <protection hidden="1"/>
    </xf>
    <xf numFmtId="0" fontId="5" fillId="6" borderId="19" xfId="0" applyFont="1" applyFill="1" applyBorder="1" applyProtection="1">
      <protection hidden="1"/>
    </xf>
    <xf numFmtId="0" fontId="5" fillId="6" borderId="31" xfId="0" applyFont="1" applyFill="1" applyBorder="1" applyProtection="1">
      <protection hidden="1"/>
    </xf>
    <xf numFmtId="0" fontId="5" fillId="6" borderId="32" xfId="0" applyFont="1" applyFill="1" applyBorder="1" applyProtection="1">
      <protection hidden="1"/>
    </xf>
    <xf numFmtId="0" fontId="5" fillId="6" borderId="35" xfId="0" applyFont="1" applyFill="1" applyBorder="1" applyProtection="1">
      <protection hidden="1"/>
    </xf>
    <xf numFmtId="0" fontId="5" fillId="6" borderId="38" xfId="0" applyFont="1" applyFill="1" applyBorder="1" applyProtection="1">
      <protection hidden="1"/>
    </xf>
    <xf numFmtId="0" fontId="10" fillId="6" borderId="0" xfId="0" applyFont="1" applyFill="1" applyAlignment="1" applyProtection="1">
      <alignment vertical="top"/>
      <protection hidden="1"/>
    </xf>
    <xf numFmtId="0" fontId="10" fillId="6" borderId="0" xfId="0" applyFont="1" applyFill="1" applyAlignment="1" applyProtection="1">
      <alignment vertical="center"/>
      <protection hidden="1"/>
    </xf>
    <xf numFmtId="0" fontId="5" fillId="6" borderId="0" xfId="0" applyFont="1" applyFill="1" applyAlignment="1" applyProtection="1">
      <alignment vertical="center"/>
      <protection hidden="1"/>
    </xf>
    <xf numFmtId="0" fontId="5" fillId="6" borderId="0" xfId="0" applyFont="1" applyFill="1" applyAlignment="1" applyProtection="1">
      <alignment vertical="top"/>
      <protection hidden="1"/>
    </xf>
    <xf numFmtId="0" fontId="5" fillId="6" borderId="2" xfId="0" applyFont="1" applyFill="1" applyBorder="1" applyProtection="1">
      <protection hidden="1"/>
    </xf>
    <xf numFmtId="0" fontId="5" fillId="6" borderId="3" xfId="0" applyFont="1" applyFill="1" applyBorder="1" applyProtection="1">
      <protection hidden="1"/>
    </xf>
    <xf numFmtId="0" fontId="5" fillId="6" borderId="4" xfId="0" applyFont="1" applyFill="1" applyBorder="1" applyProtection="1">
      <protection hidden="1"/>
    </xf>
    <xf numFmtId="0" fontId="16" fillId="6" borderId="0" xfId="0" applyFont="1" applyFill="1" applyAlignment="1" applyProtection="1">
      <alignment vertical="center"/>
      <protection hidden="1"/>
    </xf>
    <xf numFmtId="0" fontId="5" fillId="6" borderId="33" xfId="0" applyFont="1" applyFill="1" applyBorder="1" applyProtection="1">
      <protection hidden="1"/>
    </xf>
    <xf numFmtId="0" fontId="5" fillId="6" borderId="34" xfId="0" applyFont="1" applyFill="1" applyBorder="1" applyProtection="1">
      <protection hidden="1"/>
    </xf>
    <xf numFmtId="0" fontId="5" fillId="6" borderId="37" xfId="0" applyFont="1" applyFill="1" applyBorder="1" applyProtection="1">
      <protection hidden="1"/>
    </xf>
    <xf numFmtId="0" fontId="5" fillId="6" borderId="80" xfId="0" applyFont="1" applyFill="1" applyBorder="1" applyProtection="1">
      <protection hidden="1"/>
    </xf>
    <xf numFmtId="0" fontId="5" fillId="6" borderId="81" xfId="0" applyFont="1" applyFill="1" applyBorder="1" applyProtection="1">
      <protection hidden="1"/>
    </xf>
    <xf numFmtId="0" fontId="5" fillId="6" borderId="82" xfId="0" applyFont="1" applyFill="1" applyBorder="1" applyProtection="1">
      <protection hidden="1"/>
    </xf>
    <xf numFmtId="0" fontId="5" fillId="6" borderId="78" xfId="0" applyFont="1" applyFill="1" applyBorder="1" applyProtection="1">
      <protection hidden="1"/>
    </xf>
    <xf numFmtId="0" fontId="5" fillId="6" borderId="30" xfId="0" applyFont="1" applyFill="1" applyBorder="1" applyProtection="1">
      <protection hidden="1"/>
    </xf>
    <xf numFmtId="0" fontId="5" fillId="6" borderId="88" xfId="0" applyFont="1" applyFill="1" applyBorder="1" applyProtection="1">
      <protection hidden="1"/>
    </xf>
    <xf numFmtId="0" fontId="5" fillId="7" borderId="83" xfId="0" applyFont="1" applyFill="1" applyBorder="1" applyProtection="1">
      <protection hidden="1"/>
    </xf>
    <xf numFmtId="0" fontId="5" fillId="7" borderId="84" xfId="0" applyFont="1" applyFill="1" applyBorder="1" applyProtection="1">
      <protection hidden="1"/>
    </xf>
    <xf numFmtId="0" fontId="5" fillId="7" borderId="85" xfId="0" applyFont="1" applyFill="1" applyBorder="1" applyProtection="1">
      <protection hidden="1"/>
    </xf>
    <xf numFmtId="0" fontId="5" fillId="7" borderId="36" xfId="0" applyFont="1" applyFill="1" applyBorder="1" applyProtection="1">
      <protection hidden="1"/>
    </xf>
    <xf numFmtId="0" fontId="5" fillId="7" borderId="0" xfId="0" applyFont="1" applyFill="1" applyProtection="1">
      <protection hidden="1"/>
    </xf>
    <xf numFmtId="0" fontId="5" fillId="7" borderId="35" xfId="0" applyFont="1" applyFill="1" applyBorder="1" applyProtection="1">
      <protection hidden="1"/>
    </xf>
    <xf numFmtId="0" fontId="5" fillId="7" borderId="32" xfId="0" applyFont="1" applyFill="1" applyBorder="1" applyProtection="1">
      <protection hidden="1"/>
    </xf>
    <xf numFmtId="0" fontId="5" fillId="7" borderId="37" xfId="0" applyFont="1" applyFill="1" applyBorder="1" applyProtection="1">
      <protection hidden="1"/>
    </xf>
    <xf numFmtId="0" fontId="5" fillId="7" borderId="86" xfId="0" applyFont="1" applyFill="1" applyBorder="1" applyProtection="1">
      <protection hidden="1"/>
    </xf>
    <xf numFmtId="0" fontId="5" fillId="7" borderId="78" xfId="0" applyFont="1" applyFill="1" applyBorder="1" applyProtection="1">
      <protection hidden="1"/>
    </xf>
    <xf numFmtId="0" fontId="16" fillId="7" borderId="81" xfId="0" applyFont="1" applyFill="1" applyBorder="1" applyAlignment="1" applyProtection="1">
      <alignment vertical="center"/>
      <protection hidden="1"/>
    </xf>
    <xf numFmtId="0" fontId="5" fillId="7" borderId="38" xfId="0" applyFont="1" applyFill="1" applyBorder="1" applyProtection="1">
      <protection hidden="1"/>
    </xf>
    <xf numFmtId="0" fontId="5" fillId="7" borderId="80" xfId="0" applyFont="1" applyFill="1" applyBorder="1" applyProtection="1">
      <protection hidden="1"/>
    </xf>
    <xf numFmtId="0" fontId="5" fillId="7" borderId="81" xfId="0" applyFont="1" applyFill="1" applyBorder="1" applyProtection="1">
      <protection hidden="1"/>
    </xf>
    <xf numFmtId="0" fontId="5" fillId="7" borderId="53" xfId="0" applyFont="1" applyFill="1" applyBorder="1" applyProtection="1">
      <protection hidden="1"/>
    </xf>
    <xf numFmtId="0" fontId="5" fillId="7" borderId="87" xfId="0" applyFont="1" applyFill="1" applyBorder="1" applyProtection="1">
      <protection hidden="1"/>
    </xf>
    <xf numFmtId="0" fontId="5" fillId="7" borderId="30" xfId="0" applyFont="1" applyFill="1" applyBorder="1" applyProtection="1">
      <protection hidden="1"/>
    </xf>
    <xf numFmtId="0" fontId="5" fillId="7" borderId="88" xfId="0" applyFont="1" applyFill="1" applyBorder="1" applyProtection="1">
      <protection hidden="1"/>
    </xf>
    <xf numFmtId="0" fontId="5" fillId="6" borderId="51" xfId="0" applyFont="1" applyFill="1" applyBorder="1" applyAlignment="1" applyProtection="1">
      <alignment horizontal="right" vertical="center"/>
      <protection hidden="1"/>
    </xf>
    <xf numFmtId="0" fontId="5" fillId="6" borderId="52" xfId="0" applyFont="1" applyFill="1" applyBorder="1" applyAlignment="1" applyProtection="1">
      <alignment horizontal="right" vertical="center"/>
      <protection hidden="1"/>
    </xf>
    <xf numFmtId="0" fontId="5" fillId="6" borderId="53" xfId="0" applyFont="1" applyFill="1" applyBorder="1" applyAlignment="1" applyProtection="1">
      <alignment horizontal="right" vertical="center"/>
      <protection hidden="1"/>
    </xf>
    <xf numFmtId="0" fontId="5" fillId="6" borderId="91" xfId="0" applyFont="1" applyFill="1" applyBorder="1" applyProtection="1">
      <protection hidden="1"/>
    </xf>
    <xf numFmtId="0" fontId="5" fillId="10" borderId="51" xfId="0" applyFont="1" applyFill="1" applyBorder="1" applyProtection="1">
      <protection hidden="1"/>
    </xf>
    <xf numFmtId="0" fontId="19" fillId="6" borderId="0" xfId="0" applyFont="1" applyFill="1" applyProtection="1">
      <protection hidden="1"/>
    </xf>
    <xf numFmtId="0" fontId="10" fillId="0" borderId="0" xfId="0" applyFont="1" applyAlignment="1" applyProtection="1">
      <alignment vertical="center"/>
      <protection hidden="1"/>
    </xf>
    <xf numFmtId="0" fontId="12" fillId="6" borderId="0" xfId="0" applyFont="1" applyFill="1" applyAlignment="1" applyProtection="1">
      <alignment vertical="top"/>
      <protection hidden="1"/>
    </xf>
    <xf numFmtId="0" fontId="13" fillId="6" borderId="0" xfId="0" applyFont="1" applyFill="1" applyAlignment="1" applyProtection="1">
      <alignment vertical="top"/>
      <protection hidden="1"/>
    </xf>
    <xf numFmtId="0" fontId="13" fillId="6" borderId="0" xfId="0" applyFont="1" applyFill="1" applyAlignment="1" applyProtection="1">
      <alignment horizontal="left" vertical="center"/>
      <protection hidden="1"/>
    </xf>
    <xf numFmtId="0" fontId="24" fillId="6" borderId="0" xfId="0" applyFont="1" applyFill="1" applyProtection="1">
      <protection hidden="1"/>
    </xf>
    <xf numFmtId="0" fontId="12" fillId="6" borderId="0" xfId="0" applyFont="1" applyFill="1" applyProtection="1">
      <protection hidden="1"/>
    </xf>
    <xf numFmtId="0" fontId="19" fillId="6" borderId="18" xfId="0" applyFont="1" applyFill="1" applyBorder="1" applyAlignment="1" applyProtection="1">
      <alignment wrapText="1"/>
      <protection hidden="1"/>
    </xf>
    <xf numFmtId="0" fontId="5" fillId="6" borderId="5" xfId="0" applyFont="1" applyFill="1" applyBorder="1" applyAlignment="1" applyProtection="1">
      <alignment vertical="center"/>
      <protection hidden="1"/>
    </xf>
    <xf numFmtId="0" fontId="5" fillId="6" borderId="6" xfId="0" applyFont="1" applyFill="1" applyBorder="1" applyAlignment="1" applyProtection="1">
      <alignment vertical="center"/>
      <protection hidden="1"/>
    </xf>
    <xf numFmtId="0" fontId="5" fillId="6" borderId="80" xfId="0" applyFont="1" applyFill="1" applyBorder="1" applyAlignment="1" applyProtection="1">
      <alignment vertical="center"/>
      <protection hidden="1"/>
    </xf>
    <xf numFmtId="0" fontId="5" fillId="6" borderId="81" xfId="0" applyFont="1" applyFill="1" applyBorder="1" applyAlignment="1" applyProtection="1">
      <alignment vertical="center"/>
      <protection hidden="1"/>
    </xf>
    <xf numFmtId="0" fontId="13" fillId="6" borderId="0" xfId="0" applyFont="1" applyFill="1" applyAlignment="1" applyProtection="1">
      <alignment horizontal="right" vertical="center"/>
      <protection hidden="1"/>
    </xf>
    <xf numFmtId="2" fontId="10" fillId="6" borderId="0" xfId="0" applyNumberFormat="1" applyFont="1" applyFill="1" applyAlignment="1" applyProtection="1">
      <alignment vertical="top"/>
      <protection hidden="1"/>
    </xf>
    <xf numFmtId="0" fontId="25" fillId="9" borderId="48" xfId="0" applyFont="1" applyFill="1" applyBorder="1" applyProtection="1">
      <protection hidden="1"/>
    </xf>
    <xf numFmtId="0" fontId="25" fillId="9" borderId="49" xfId="0" applyFont="1" applyFill="1" applyBorder="1" applyProtection="1">
      <protection hidden="1"/>
    </xf>
    <xf numFmtId="0" fontId="25" fillId="9" borderId="50" xfId="0" applyFont="1" applyFill="1" applyBorder="1" applyProtection="1">
      <protection hidden="1"/>
    </xf>
    <xf numFmtId="0" fontId="25" fillId="9" borderId="51" xfId="0" applyFont="1" applyFill="1" applyBorder="1" applyProtection="1">
      <protection hidden="1"/>
    </xf>
    <xf numFmtId="0" fontId="0" fillId="8" borderId="40" xfId="0" applyFill="1" applyBorder="1" applyAlignment="1" applyProtection="1">
      <alignment horizontal="left" vertical="center"/>
      <protection hidden="1"/>
    </xf>
    <xf numFmtId="0" fontId="0" fillId="8" borderId="41" xfId="0" applyFill="1" applyBorder="1" applyAlignment="1" applyProtection="1">
      <alignment horizontal="right" vertical="center"/>
      <protection hidden="1"/>
    </xf>
    <xf numFmtId="0" fontId="0" fillId="8" borderId="54" xfId="0" applyFill="1" applyBorder="1" applyAlignment="1" applyProtection="1">
      <alignment horizontal="right" vertical="center"/>
      <protection hidden="1"/>
    </xf>
    <xf numFmtId="0" fontId="0" fillId="7" borderId="43" xfId="0" applyFill="1" applyBorder="1" applyAlignment="1" applyProtection="1">
      <alignment horizontal="left" vertical="center"/>
      <protection hidden="1"/>
    </xf>
    <xf numFmtId="0" fontId="0" fillId="7" borderId="39" xfId="0" applyFill="1" applyBorder="1" applyAlignment="1" applyProtection="1">
      <alignment horizontal="right" vertical="center"/>
      <protection hidden="1"/>
    </xf>
    <xf numFmtId="0" fontId="0" fillId="7" borderId="10" xfId="0" applyFill="1" applyBorder="1" applyAlignment="1" applyProtection="1">
      <alignment horizontal="right" vertical="center"/>
      <protection hidden="1"/>
    </xf>
    <xf numFmtId="0" fontId="0" fillId="8" borderId="43" xfId="0" applyFill="1" applyBorder="1" applyAlignment="1" applyProtection="1">
      <alignment horizontal="left" vertical="center"/>
      <protection hidden="1"/>
    </xf>
    <xf numFmtId="0" fontId="0" fillId="8" borderId="39" xfId="0" applyFill="1" applyBorder="1" applyAlignment="1" applyProtection="1">
      <alignment horizontal="right" vertical="center"/>
      <protection hidden="1"/>
    </xf>
    <xf numFmtId="0" fontId="0" fillId="8" borderId="10" xfId="0" applyFill="1" applyBorder="1" applyAlignment="1" applyProtection="1">
      <alignment horizontal="right" vertical="center"/>
      <protection hidden="1"/>
    </xf>
    <xf numFmtId="0" fontId="0" fillId="7" borderId="46" xfId="0" applyFill="1" applyBorder="1" applyAlignment="1" applyProtection="1">
      <alignment horizontal="right" vertical="center"/>
      <protection hidden="1"/>
    </xf>
    <xf numFmtId="0" fontId="0" fillId="7" borderId="55" xfId="0" applyFill="1" applyBorder="1" applyAlignment="1" applyProtection="1">
      <alignment horizontal="right" vertical="center"/>
      <protection hidden="1"/>
    </xf>
    <xf numFmtId="0" fontId="25" fillId="9" borderId="40" xfId="0" applyFont="1" applyFill="1" applyBorder="1" applyProtection="1">
      <protection hidden="1"/>
    </xf>
    <xf numFmtId="0" fontId="25" fillId="9" borderId="41" xfId="0" applyFont="1" applyFill="1" applyBorder="1" applyProtection="1">
      <protection hidden="1"/>
    </xf>
    <xf numFmtId="0" fontId="25" fillId="9" borderId="42" xfId="0" applyFont="1" applyFill="1" applyBorder="1" applyProtection="1">
      <protection hidden="1"/>
    </xf>
    <xf numFmtId="0" fontId="0" fillId="0" borderId="90" xfId="0" applyBorder="1" applyProtection="1">
      <protection hidden="1"/>
    </xf>
    <xf numFmtId="0" fontId="25" fillId="9" borderId="79" xfId="0" applyFont="1" applyFill="1" applyBorder="1" applyProtection="1">
      <protection hidden="1"/>
    </xf>
    <xf numFmtId="0" fontId="0" fillId="9" borderId="40" xfId="0" applyFill="1" applyBorder="1" applyProtection="1">
      <protection hidden="1"/>
    </xf>
    <xf numFmtId="0" fontId="0" fillId="9" borderId="42" xfId="0" applyFill="1" applyBorder="1" applyProtection="1">
      <protection hidden="1"/>
    </xf>
    <xf numFmtId="0" fontId="0" fillId="0" borderId="58" xfId="0" applyBorder="1" applyProtection="1">
      <protection hidden="1"/>
    </xf>
    <xf numFmtId="0" fontId="0" fillId="0" borderId="57" xfId="0" applyBorder="1" applyProtection="1">
      <protection hidden="1"/>
    </xf>
    <xf numFmtId="0" fontId="0" fillId="0" borderId="62" xfId="0" applyBorder="1" applyProtection="1">
      <protection hidden="1"/>
    </xf>
    <xf numFmtId="0" fontId="0" fillId="0" borderId="60" xfId="0" applyBorder="1" applyProtection="1">
      <protection hidden="1"/>
    </xf>
    <xf numFmtId="0" fontId="0" fillId="0" borderId="63" xfId="0" applyBorder="1" applyProtection="1">
      <protection hidden="1"/>
    </xf>
    <xf numFmtId="0" fontId="0" fillId="0" borderId="64" xfId="0" applyBorder="1" applyProtection="1">
      <protection hidden="1"/>
    </xf>
    <xf numFmtId="0" fontId="0" fillId="0" borderId="57" xfId="0" applyBorder="1" applyAlignment="1" applyProtection="1">
      <alignment horizontal="right"/>
      <protection hidden="1"/>
    </xf>
    <xf numFmtId="0" fontId="0" fillId="0" borderId="59" xfId="0" applyBorder="1" applyAlignment="1" applyProtection="1">
      <alignment horizontal="right"/>
      <protection hidden="1"/>
    </xf>
    <xf numFmtId="0" fontId="0" fillId="0" borderId="69" xfId="0" applyBorder="1" applyProtection="1">
      <protection hidden="1"/>
    </xf>
    <xf numFmtId="172" fontId="0" fillId="0" borderId="57" xfId="0" applyNumberFormat="1" applyBorder="1" applyProtection="1">
      <protection hidden="1"/>
    </xf>
    <xf numFmtId="172" fontId="0" fillId="0" borderId="61" xfId="0" applyNumberFormat="1" applyBorder="1" applyProtection="1">
      <protection hidden="1"/>
    </xf>
    <xf numFmtId="176" fontId="0" fillId="0" borderId="39" xfId="1" applyNumberFormat="1" applyFont="1" applyBorder="1" applyProtection="1">
      <protection hidden="1"/>
    </xf>
    <xf numFmtId="170" fontId="0" fillId="0" borderId="57" xfId="0" applyNumberFormat="1" applyBorder="1" applyProtection="1">
      <protection hidden="1"/>
    </xf>
    <xf numFmtId="170" fontId="0" fillId="0" borderId="61" xfId="0" applyNumberFormat="1" applyBorder="1" applyProtection="1">
      <protection hidden="1"/>
    </xf>
    <xf numFmtId="176" fontId="0" fillId="0" borderId="21" xfId="1" applyNumberFormat="1" applyFont="1" applyBorder="1" applyProtection="1">
      <protection hidden="1"/>
    </xf>
    <xf numFmtId="171" fontId="0" fillId="0" borderId="57" xfId="0" applyNumberFormat="1" applyBorder="1" applyProtection="1">
      <protection hidden="1"/>
    </xf>
    <xf numFmtId="171" fontId="0" fillId="0" borderId="61" xfId="0" applyNumberFormat="1" applyBorder="1" applyProtection="1">
      <protection hidden="1"/>
    </xf>
    <xf numFmtId="0" fontId="0" fillId="0" borderId="65" xfId="0" applyBorder="1" applyProtection="1">
      <protection hidden="1"/>
    </xf>
    <xf numFmtId="0" fontId="0" fillId="0" borderId="66" xfId="0" applyBorder="1" applyProtection="1">
      <protection hidden="1"/>
    </xf>
    <xf numFmtId="0" fontId="0" fillId="0" borderId="68" xfId="0" applyBorder="1" applyProtection="1">
      <protection hidden="1"/>
    </xf>
    <xf numFmtId="0" fontId="0" fillId="0" borderId="67" xfId="0" applyBorder="1" applyProtection="1">
      <protection hidden="1"/>
    </xf>
    <xf numFmtId="172" fontId="0" fillId="7" borderId="57" xfId="0" applyNumberFormat="1" applyFill="1" applyBorder="1" applyProtection="1">
      <protection locked="0" hidden="1"/>
    </xf>
    <xf numFmtId="170" fontId="0" fillId="7" borderId="57" xfId="0" applyNumberFormat="1" applyFill="1" applyBorder="1" applyProtection="1">
      <protection locked="0" hidden="1"/>
    </xf>
    <xf numFmtId="171" fontId="0" fillId="7" borderId="57" xfId="0" applyNumberFormat="1" applyFill="1" applyBorder="1" applyProtection="1">
      <protection locked="0" hidden="1"/>
    </xf>
    <xf numFmtId="175" fontId="0" fillId="7" borderId="57" xfId="0" applyNumberFormat="1" applyFill="1" applyBorder="1" applyProtection="1">
      <protection locked="0" hidden="1"/>
    </xf>
    <xf numFmtId="173" fontId="0" fillId="7" borderId="57" xfId="0" applyNumberFormat="1" applyFill="1" applyBorder="1" applyProtection="1">
      <protection locked="0" hidden="1"/>
    </xf>
    <xf numFmtId="174" fontId="0" fillId="7" borderId="57" xfId="0" applyNumberFormat="1" applyFill="1" applyBorder="1" applyProtection="1">
      <protection locked="0" hidden="1"/>
    </xf>
    <xf numFmtId="49" fontId="0" fillId="0" borderId="43" xfId="0" applyNumberFormat="1" applyBorder="1" applyProtection="1">
      <protection locked="0" hidden="1"/>
    </xf>
    <xf numFmtId="49" fontId="0" fillId="0" borderId="39" xfId="0" applyNumberFormat="1" applyBorder="1" applyProtection="1">
      <protection locked="0" hidden="1"/>
    </xf>
    <xf numFmtId="0" fontId="0" fillId="0" borderId="39" xfId="0" applyBorder="1" applyProtection="1">
      <protection locked="0" hidden="1"/>
    </xf>
    <xf numFmtId="0" fontId="0" fillId="0" borderId="44" xfId="0" applyBorder="1" applyProtection="1">
      <protection locked="0" hidden="1"/>
    </xf>
    <xf numFmtId="0" fontId="0" fillId="0" borderId="45" xfId="0" applyBorder="1" applyProtection="1">
      <protection locked="0" hidden="1"/>
    </xf>
    <xf numFmtId="0" fontId="0" fillId="0" borderId="46" xfId="0" applyBorder="1" applyProtection="1">
      <protection locked="0" hidden="1"/>
    </xf>
    <xf numFmtId="0" fontId="0" fillId="0" borderId="47" xfId="0" applyBorder="1" applyProtection="1">
      <protection locked="0" hidden="1"/>
    </xf>
    <xf numFmtId="177" fontId="5" fillId="6" borderId="0" xfId="0" applyNumberFormat="1" applyFont="1" applyFill="1" applyAlignment="1" applyProtection="1">
      <alignment vertical="top"/>
      <protection hidden="1"/>
    </xf>
    <xf numFmtId="178" fontId="5" fillId="6" borderId="0" xfId="0" applyNumberFormat="1" applyFont="1" applyFill="1" applyAlignment="1" applyProtection="1">
      <alignment vertical="top"/>
      <protection hidden="1"/>
    </xf>
    <xf numFmtId="49" fontId="0" fillId="0" borderId="43" xfId="0" applyNumberFormat="1" applyBorder="1" applyProtection="1">
      <protection hidden="1"/>
    </xf>
    <xf numFmtId="49" fontId="0" fillId="0" borderId="39" xfId="0" applyNumberFormat="1" applyBorder="1" applyProtection="1">
      <protection hidden="1"/>
    </xf>
    <xf numFmtId="0" fontId="0" fillId="0" borderId="39" xfId="0" applyBorder="1" applyProtection="1">
      <protection hidden="1"/>
    </xf>
    <xf numFmtId="0" fontId="0" fillId="0" borderId="45" xfId="0" applyBorder="1" applyProtection="1">
      <protection hidden="1"/>
    </xf>
    <xf numFmtId="0" fontId="0" fillId="0" borderId="46" xfId="0" applyBorder="1" applyProtection="1">
      <protection hidden="1"/>
    </xf>
    <xf numFmtId="0" fontId="10" fillId="6" borderId="0" xfId="0" applyFont="1" applyFill="1" applyAlignment="1" applyProtection="1">
      <alignment horizontal="center"/>
      <protection hidden="1"/>
    </xf>
    <xf numFmtId="0" fontId="25" fillId="9" borderId="0" xfId="0" applyFont="1" applyFill="1" applyProtection="1">
      <protection hidden="1"/>
    </xf>
    <xf numFmtId="0" fontId="32" fillId="6" borderId="0" xfId="0" applyFont="1" applyFill="1" applyProtection="1">
      <protection hidden="1"/>
    </xf>
    <xf numFmtId="0" fontId="0" fillId="0" borderId="0" xfId="0" applyProtection="1">
      <protection hidden="1"/>
    </xf>
    <xf numFmtId="0" fontId="32" fillId="6" borderId="5" xfId="0" applyFont="1" applyFill="1" applyBorder="1" applyProtection="1">
      <protection hidden="1"/>
    </xf>
    <xf numFmtId="0" fontId="32" fillId="6" borderId="5" xfId="0" applyFont="1" applyFill="1" applyBorder="1" applyAlignment="1" applyProtection="1">
      <alignment vertical="center"/>
      <protection hidden="1"/>
    </xf>
    <xf numFmtId="9" fontId="0" fillId="0" borderId="0" xfId="0" applyNumberFormat="1" applyProtection="1">
      <protection hidden="1"/>
    </xf>
    <xf numFmtId="2" fontId="0" fillId="0" borderId="39" xfId="0" applyNumberFormat="1" applyBorder="1" applyProtection="1">
      <protection hidden="1"/>
    </xf>
    <xf numFmtId="169" fontId="0" fillId="0" borderId="39" xfId="0" applyNumberFormat="1" applyBorder="1" applyProtection="1">
      <protection hidden="1"/>
    </xf>
    <xf numFmtId="0" fontId="32" fillId="6" borderId="6" xfId="0" applyFont="1" applyFill="1" applyBorder="1" applyProtection="1">
      <protection hidden="1"/>
    </xf>
    <xf numFmtId="0" fontId="32" fillId="6" borderId="0" xfId="0" applyFont="1" applyFill="1" applyAlignment="1" applyProtection="1">
      <alignment horizontal="right"/>
      <protection hidden="1"/>
    </xf>
    <xf numFmtId="0" fontId="32" fillId="6" borderId="0" xfId="0" applyFont="1" applyFill="1" applyAlignment="1" applyProtection="1">
      <alignment horizontal="left"/>
      <protection hidden="1"/>
    </xf>
    <xf numFmtId="0" fontId="32" fillId="6" borderId="0" xfId="0" applyFont="1" applyFill="1" applyAlignment="1" applyProtection="1">
      <alignment horizontal="center"/>
      <protection hidden="1"/>
    </xf>
    <xf numFmtId="0" fontId="32" fillId="6" borderId="6" xfId="0" applyFont="1" applyFill="1" applyBorder="1" applyAlignment="1" applyProtection="1">
      <alignment vertical="center"/>
      <protection hidden="1"/>
    </xf>
    <xf numFmtId="0" fontId="32" fillId="6" borderId="19" xfId="0" applyFont="1" applyFill="1" applyBorder="1" applyProtection="1">
      <protection hidden="1"/>
    </xf>
    <xf numFmtId="0" fontId="32" fillId="6" borderId="18" xfId="0" applyFont="1" applyFill="1" applyBorder="1" applyProtection="1">
      <protection hidden="1"/>
    </xf>
    <xf numFmtId="0" fontId="32" fillId="6" borderId="20" xfId="0" applyFont="1" applyFill="1" applyBorder="1" applyProtection="1">
      <protection hidden="1"/>
    </xf>
    <xf numFmtId="0" fontId="33" fillId="7" borderId="39" xfId="0" applyFont="1" applyFill="1" applyBorder="1"/>
    <xf numFmtId="0" fontId="34" fillId="0" borderId="39" xfId="0" applyFont="1" applyBorder="1"/>
    <xf numFmtId="0" fontId="0" fillId="0" borderId="39" xfId="0" applyBorder="1"/>
    <xf numFmtId="0" fontId="0" fillId="0" borderId="39" xfId="0" applyBorder="1" applyAlignment="1">
      <alignment wrapText="1"/>
    </xf>
    <xf numFmtId="179" fontId="32" fillId="6" borderId="0" xfId="0" applyNumberFormat="1" applyFont="1" applyFill="1" applyAlignment="1" applyProtection="1">
      <alignment horizontal="center"/>
      <protection hidden="1"/>
    </xf>
    <xf numFmtId="0" fontId="12" fillId="6" borderId="0" xfId="0" applyFont="1" applyFill="1" applyAlignment="1" applyProtection="1">
      <alignment horizontal="right" vertical="center"/>
      <protection hidden="1"/>
    </xf>
    <xf numFmtId="0" fontId="5" fillId="6" borderId="0" xfId="0" applyFont="1" applyFill="1" applyAlignment="1" applyProtection="1">
      <alignment horizontal="center"/>
      <protection hidden="1"/>
    </xf>
    <xf numFmtId="0" fontId="5" fillId="6" borderId="21" xfId="0" applyFont="1" applyFill="1" applyBorder="1" applyAlignment="1" applyProtection="1">
      <alignment vertical="center"/>
      <protection hidden="1"/>
    </xf>
    <xf numFmtId="49" fontId="37" fillId="0" borderId="43" xfId="0" applyNumberFormat="1" applyFont="1" applyBorder="1" applyProtection="1">
      <protection hidden="1"/>
    </xf>
    <xf numFmtId="49" fontId="37" fillId="0" borderId="39" xfId="0" applyNumberFormat="1" applyFont="1" applyBorder="1" applyProtection="1">
      <protection hidden="1"/>
    </xf>
    <xf numFmtId="0" fontId="37" fillId="0" borderId="39" xfId="0" applyFont="1" applyBorder="1" applyProtection="1">
      <protection hidden="1"/>
    </xf>
    <xf numFmtId="169" fontId="37" fillId="0" borderId="39" xfId="0" applyNumberFormat="1" applyFont="1" applyBorder="1" applyProtection="1">
      <protection hidden="1"/>
    </xf>
    <xf numFmtId="9" fontId="37" fillId="0" borderId="0" xfId="0" applyNumberFormat="1" applyFont="1" applyProtection="1">
      <protection hidden="1"/>
    </xf>
    <xf numFmtId="0" fontId="13" fillId="6" borderId="0" xfId="0" applyFont="1" applyFill="1" applyAlignment="1" applyProtection="1">
      <alignment horizontal="center"/>
      <protection hidden="1"/>
    </xf>
    <xf numFmtId="0" fontId="5" fillId="11" borderId="0" xfId="0" applyFont="1" applyFill="1" applyProtection="1">
      <protection hidden="1"/>
    </xf>
    <xf numFmtId="0" fontId="8" fillId="11" borderId="0" xfId="0" applyFont="1" applyFill="1" applyAlignment="1" applyProtection="1">
      <alignment vertical="center"/>
      <protection hidden="1"/>
    </xf>
    <xf numFmtId="0" fontId="9" fillId="11" borderId="0" xfId="0" applyFont="1" applyFill="1" applyAlignment="1" applyProtection="1">
      <alignment vertical="center"/>
      <protection hidden="1"/>
    </xf>
    <xf numFmtId="0" fontId="5" fillId="7" borderId="8" xfId="0" applyFont="1" applyFill="1" applyBorder="1" applyAlignment="1" applyProtection="1">
      <alignment vertical="center"/>
      <protection hidden="1"/>
    </xf>
    <xf numFmtId="49" fontId="10" fillId="6" borderId="0" xfId="0" applyNumberFormat="1" applyFont="1" applyFill="1" applyAlignment="1" applyProtection="1">
      <alignment horizontal="right" vertical="center"/>
      <protection hidden="1"/>
    </xf>
    <xf numFmtId="0" fontId="5" fillId="6" borderId="0" xfId="0" applyFont="1" applyFill="1" applyAlignment="1" applyProtection="1">
      <alignment horizontal="left" vertical="center"/>
      <protection hidden="1"/>
    </xf>
    <xf numFmtId="0" fontId="5" fillId="6" borderId="0" xfId="0" applyFont="1" applyFill="1" applyAlignment="1" applyProtection="1">
      <alignment horizontal="right" vertical="center"/>
      <protection hidden="1"/>
    </xf>
    <xf numFmtId="0" fontId="38" fillId="6" borderId="0" xfId="0" applyFont="1" applyFill="1" applyAlignment="1" applyProtection="1">
      <alignment vertical="center"/>
      <protection hidden="1"/>
    </xf>
    <xf numFmtId="0" fontId="38" fillId="0" borderId="0" xfId="0" applyFont="1" applyAlignment="1" applyProtection="1">
      <alignment vertical="center"/>
      <protection hidden="1"/>
    </xf>
    <xf numFmtId="0" fontId="12" fillId="8" borderId="39" xfId="0" applyFont="1" applyFill="1" applyBorder="1" applyAlignment="1" applyProtection="1">
      <alignment horizontal="center" vertical="center"/>
      <protection locked="0" hidden="1"/>
    </xf>
    <xf numFmtId="0" fontId="28" fillId="11" borderId="0" xfId="0" applyFont="1" applyFill="1" applyAlignment="1" applyProtection="1">
      <alignment horizontal="right" vertical="center"/>
      <protection hidden="1"/>
    </xf>
    <xf numFmtId="0" fontId="30" fillId="11" borderId="0" xfId="0" applyFont="1" applyFill="1" applyProtection="1">
      <protection hidden="1"/>
    </xf>
    <xf numFmtId="0" fontId="26" fillId="0" borderId="90" xfId="0" applyFont="1" applyBorder="1" applyProtection="1">
      <protection hidden="1"/>
    </xf>
    <xf numFmtId="0" fontId="26" fillId="0" borderId="58" xfId="0" applyFont="1" applyBorder="1" applyProtection="1">
      <protection hidden="1"/>
    </xf>
    <xf numFmtId="0" fontId="26" fillId="0" borderId="58" xfId="0" applyFont="1" applyBorder="1" applyAlignment="1" applyProtection="1">
      <alignment wrapText="1"/>
      <protection hidden="1"/>
    </xf>
    <xf numFmtId="0" fontId="30" fillId="6" borderId="51" xfId="0" applyFont="1" applyFill="1" applyBorder="1" applyAlignment="1" applyProtection="1">
      <alignment horizontal="right" vertical="center"/>
      <protection hidden="1"/>
    </xf>
    <xf numFmtId="0" fontId="30" fillId="6" borderId="52" xfId="0" applyFont="1" applyFill="1" applyBorder="1" applyAlignment="1" applyProtection="1">
      <alignment horizontal="right" vertical="center"/>
      <protection hidden="1"/>
    </xf>
    <xf numFmtId="0" fontId="5" fillId="6" borderId="38" xfId="0" applyFont="1" applyFill="1" applyBorder="1" applyAlignment="1" applyProtection="1">
      <alignment horizontal="right" vertical="center"/>
      <protection hidden="1"/>
    </xf>
    <xf numFmtId="0" fontId="5" fillId="6" borderId="80" xfId="0" applyFont="1" applyFill="1" applyBorder="1" applyAlignment="1" applyProtection="1">
      <alignment horizontal="right" vertical="center"/>
      <protection hidden="1"/>
    </xf>
    <xf numFmtId="0" fontId="5" fillId="6" borderId="33" xfId="0" applyFont="1" applyFill="1" applyBorder="1" applyAlignment="1" applyProtection="1">
      <alignment horizontal="right" vertical="center"/>
      <protection hidden="1"/>
    </xf>
    <xf numFmtId="0" fontId="5" fillId="6" borderId="34" xfId="0" applyFont="1" applyFill="1" applyBorder="1" applyAlignment="1" applyProtection="1">
      <alignment horizontal="right" vertical="center"/>
      <protection hidden="1"/>
    </xf>
    <xf numFmtId="0" fontId="5" fillId="6" borderId="35" xfId="0" applyFont="1" applyFill="1" applyBorder="1" applyAlignment="1" applyProtection="1">
      <alignment horizontal="right" vertical="center"/>
      <protection hidden="1"/>
    </xf>
    <xf numFmtId="0" fontId="5" fillId="6" borderId="37" xfId="0" applyFont="1" applyFill="1" applyBorder="1" applyAlignment="1" applyProtection="1">
      <alignment horizontal="right" vertical="center"/>
      <protection hidden="1"/>
    </xf>
    <xf numFmtId="0" fontId="0" fillId="6" borderId="43" xfId="0" applyFill="1" applyBorder="1" applyAlignment="1" applyProtection="1">
      <alignment horizontal="left" vertical="center"/>
      <protection hidden="1"/>
    </xf>
    <xf numFmtId="0" fontId="5" fillId="6" borderId="0" xfId="0" applyFont="1" applyFill="1" applyAlignment="1" applyProtection="1">
      <alignment horizontal="left" wrapText="1"/>
      <protection hidden="1"/>
    </xf>
    <xf numFmtId="0" fontId="19" fillId="6" borderId="0" xfId="0" applyFont="1" applyFill="1" applyAlignment="1" applyProtection="1">
      <alignment wrapText="1"/>
      <protection hidden="1"/>
    </xf>
    <xf numFmtId="0" fontId="5" fillId="6" borderId="0" xfId="0" applyFont="1" applyFill="1" applyAlignment="1" applyProtection="1">
      <alignment wrapText="1"/>
      <protection hidden="1"/>
    </xf>
    <xf numFmtId="169" fontId="12" fillId="6" borderId="0" xfId="0" applyNumberFormat="1" applyFont="1" applyFill="1" applyAlignment="1" applyProtection="1">
      <alignment horizontal="right" vertical="center"/>
      <protection hidden="1"/>
    </xf>
    <xf numFmtId="0" fontId="12" fillId="8" borderId="10" xfId="0" applyFont="1" applyFill="1" applyBorder="1" applyAlignment="1" applyProtection="1">
      <alignment horizontal="right" vertical="center"/>
      <protection locked="0" hidden="1"/>
    </xf>
    <xf numFmtId="0" fontId="12" fillId="8" borderId="12" xfId="0" applyFont="1" applyFill="1" applyBorder="1" applyAlignment="1" applyProtection="1">
      <alignment horizontal="right" vertical="center"/>
      <protection locked="0" hidden="1"/>
    </xf>
    <xf numFmtId="3" fontId="12" fillId="8" borderId="10" xfId="0" applyNumberFormat="1" applyFont="1" applyFill="1" applyBorder="1" applyAlignment="1" applyProtection="1">
      <alignment horizontal="right" vertical="center"/>
      <protection locked="0" hidden="1"/>
    </xf>
    <xf numFmtId="3" fontId="12" fillId="8" borderId="12" xfId="0" applyNumberFormat="1" applyFont="1" applyFill="1" applyBorder="1" applyAlignment="1" applyProtection="1">
      <alignment horizontal="right" vertical="center"/>
      <protection locked="0" hidden="1"/>
    </xf>
    <xf numFmtId="0" fontId="5" fillId="6" borderId="80" xfId="0" applyFont="1" applyFill="1" applyBorder="1" applyAlignment="1" applyProtection="1">
      <alignment horizontal="center" vertical="center" textRotation="90"/>
      <protection hidden="1"/>
    </xf>
    <xf numFmtId="0" fontId="5" fillId="6" borderId="0" xfId="0" applyFont="1" applyFill="1" applyAlignment="1" applyProtection="1">
      <alignment horizontal="center"/>
      <protection hidden="1"/>
    </xf>
    <xf numFmtId="0" fontId="5" fillId="6" borderId="0" xfId="0" applyFont="1" applyFill="1" applyAlignment="1" applyProtection="1">
      <alignment horizontal="left" wrapText="1"/>
      <protection hidden="1"/>
    </xf>
    <xf numFmtId="0" fontId="16" fillId="6" borderId="0" xfId="0" applyFont="1" applyFill="1" applyAlignment="1" applyProtection="1">
      <alignment horizontal="center"/>
      <protection hidden="1"/>
    </xf>
    <xf numFmtId="0" fontId="16" fillId="6" borderId="30" xfId="0" applyFont="1" applyFill="1" applyBorder="1" applyAlignment="1" applyProtection="1">
      <alignment horizontal="center"/>
      <protection hidden="1"/>
    </xf>
    <xf numFmtId="0" fontId="22" fillId="9" borderId="33" xfId="0" applyFont="1" applyFill="1" applyBorder="1" applyAlignment="1" applyProtection="1">
      <alignment horizontal="center" vertical="top" wrapText="1"/>
      <protection hidden="1"/>
    </xf>
    <xf numFmtId="0" fontId="22" fillId="9" borderId="34" xfId="0" applyFont="1" applyFill="1" applyBorder="1" applyAlignment="1" applyProtection="1">
      <alignment horizontal="center" vertical="top" wrapText="1"/>
      <protection hidden="1"/>
    </xf>
    <xf numFmtId="0" fontId="22" fillId="9" borderId="35" xfId="0" applyFont="1" applyFill="1" applyBorder="1" applyAlignment="1" applyProtection="1">
      <alignment horizontal="center" vertical="top" wrapText="1"/>
      <protection hidden="1"/>
    </xf>
    <xf numFmtId="0" fontId="22" fillId="9" borderId="37" xfId="0" applyFont="1" applyFill="1" applyBorder="1" applyAlignment="1" applyProtection="1">
      <alignment horizontal="center" vertical="top" wrapText="1"/>
      <protection hidden="1"/>
    </xf>
    <xf numFmtId="0" fontId="28" fillId="9" borderId="33" xfId="0" applyFont="1" applyFill="1" applyBorder="1" applyAlignment="1" applyProtection="1">
      <alignment horizontal="center" vertical="center"/>
      <protection hidden="1"/>
    </xf>
    <xf numFmtId="0" fontId="28" fillId="9" borderId="34" xfId="0" applyFont="1" applyFill="1" applyBorder="1" applyAlignment="1" applyProtection="1">
      <alignment horizontal="center" vertical="center"/>
      <protection hidden="1"/>
    </xf>
    <xf numFmtId="0" fontId="28" fillId="9" borderId="35" xfId="0" applyFont="1" applyFill="1" applyBorder="1" applyAlignment="1" applyProtection="1">
      <alignment horizontal="center" vertical="center"/>
      <protection hidden="1"/>
    </xf>
    <xf numFmtId="0" fontId="28" fillId="9" borderId="37" xfId="0" applyFont="1" applyFill="1" applyBorder="1" applyAlignment="1" applyProtection="1">
      <alignment horizontal="center" vertical="center"/>
      <protection hidden="1"/>
    </xf>
    <xf numFmtId="0" fontId="16" fillId="6" borderId="77" xfId="0" applyFont="1" applyFill="1" applyBorder="1" applyAlignment="1" applyProtection="1">
      <alignment horizontal="right" vertical="center"/>
      <protection hidden="1"/>
    </xf>
    <xf numFmtId="0" fontId="16" fillId="6" borderId="89" xfId="0" applyFont="1" applyFill="1" applyBorder="1" applyAlignment="1" applyProtection="1">
      <alignment horizontal="right" vertical="center"/>
      <protection hidden="1"/>
    </xf>
    <xf numFmtId="0" fontId="16" fillId="6" borderId="36" xfId="0" applyFont="1" applyFill="1" applyBorder="1" applyAlignment="1" applyProtection="1">
      <alignment horizontal="right" vertical="center"/>
      <protection hidden="1"/>
    </xf>
    <xf numFmtId="0" fontId="16" fillId="6" borderId="81" xfId="0" applyFont="1" applyFill="1" applyBorder="1" applyAlignment="1" applyProtection="1">
      <alignment horizontal="right" vertical="center"/>
      <protection hidden="1"/>
    </xf>
    <xf numFmtId="0" fontId="29" fillId="6" borderId="33" xfId="0" applyFont="1" applyFill="1" applyBorder="1" applyAlignment="1" applyProtection="1">
      <alignment horizontal="right" vertical="center"/>
      <protection hidden="1"/>
    </xf>
    <xf numFmtId="0" fontId="29" fillId="6" borderId="56" xfId="0" applyFont="1" applyFill="1" applyBorder="1" applyAlignment="1" applyProtection="1">
      <alignment horizontal="right" vertical="center"/>
      <protection hidden="1"/>
    </xf>
    <xf numFmtId="0" fontId="29" fillId="6" borderId="34" xfId="0" applyFont="1" applyFill="1" applyBorder="1" applyAlignment="1" applyProtection="1">
      <alignment horizontal="right" vertical="center"/>
      <protection hidden="1"/>
    </xf>
    <xf numFmtId="0" fontId="29" fillId="6" borderId="35" xfId="0" applyFont="1" applyFill="1" applyBorder="1" applyAlignment="1" applyProtection="1">
      <alignment horizontal="right" vertical="center"/>
      <protection hidden="1"/>
    </xf>
    <xf numFmtId="0" fontId="29" fillId="6" borderId="32" xfId="0" applyFont="1" applyFill="1" applyBorder="1" applyAlignment="1" applyProtection="1">
      <alignment horizontal="right" vertical="center"/>
      <protection hidden="1"/>
    </xf>
    <xf numFmtId="0" fontId="29" fillId="6" borderId="37" xfId="0" applyFont="1" applyFill="1" applyBorder="1" applyAlignment="1" applyProtection="1">
      <alignment horizontal="right" vertical="center"/>
      <protection hidden="1"/>
    </xf>
    <xf numFmtId="0" fontId="5" fillId="10" borderId="33" xfId="0" applyFont="1" applyFill="1" applyBorder="1" applyAlignment="1" applyProtection="1">
      <alignment horizontal="center" vertical="center" wrapText="1"/>
      <protection hidden="1"/>
    </xf>
    <xf numFmtId="0" fontId="5" fillId="10" borderId="0" xfId="0" applyFont="1" applyFill="1" applyAlignment="1" applyProtection="1">
      <alignment horizontal="center" vertical="center" wrapText="1"/>
      <protection hidden="1"/>
    </xf>
    <xf numFmtId="0" fontId="5" fillId="10" borderId="56" xfId="0" applyFont="1" applyFill="1" applyBorder="1" applyAlignment="1" applyProtection="1">
      <alignment horizontal="center" vertical="center" wrapText="1"/>
      <protection hidden="1"/>
    </xf>
    <xf numFmtId="0" fontId="5" fillId="10" borderId="34" xfId="0" applyFont="1" applyFill="1" applyBorder="1" applyAlignment="1" applyProtection="1">
      <alignment horizontal="center" vertical="center" wrapText="1"/>
      <protection hidden="1"/>
    </xf>
    <xf numFmtId="0" fontId="5" fillId="10" borderId="38" xfId="0" applyFont="1" applyFill="1" applyBorder="1" applyAlignment="1" applyProtection="1">
      <alignment horizontal="center" vertical="center" wrapText="1"/>
      <protection hidden="1"/>
    </xf>
    <xf numFmtId="0" fontId="5" fillId="10" borderId="80" xfId="0" applyFont="1" applyFill="1" applyBorder="1" applyAlignment="1" applyProtection="1">
      <alignment horizontal="center" vertical="center" wrapText="1"/>
      <protection hidden="1"/>
    </xf>
    <xf numFmtId="0" fontId="5" fillId="10" borderId="35" xfId="0" applyFont="1" applyFill="1" applyBorder="1" applyAlignment="1" applyProtection="1">
      <alignment horizontal="center" vertical="center" wrapText="1"/>
      <protection hidden="1"/>
    </xf>
    <xf numFmtId="0" fontId="5" fillId="10" borderId="32" xfId="0" applyFont="1" applyFill="1" applyBorder="1" applyAlignment="1" applyProtection="1">
      <alignment horizontal="center" vertical="center" wrapText="1"/>
      <protection hidden="1"/>
    </xf>
    <xf numFmtId="0" fontId="5" fillId="10" borderId="37" xfId="0" applyFont="1" applyFill="1" applyBorder="1" applyAlignment="1" applyProtection="1">
      <alignment horizontal="center" vertical="center" wrapText="1"/>
      <protection hidden="1"/>
    </xf>
    <xf numFmtId="0" fontId="12" fillId="6" borderId="0" xfId="0" applyFont="1" applyFill="1" applyAlignment="1" applyProtection="1">
      <alignment horizontal="right" vertical="center"/>
      <protection hidden="1"/>
    </xf>
    <xf numFmtId="0" fontId="39" fillId="11" borderId="0" xfId="0" applyFont="1" applyFill="1" applyAlignment="1" applyProtection="1">
      <alignment horizontal="center" vertical="center"/>
      <protection hidden="1"/>
    </xf>
    <xf numFmtId="0" fontId="12" fillId="8" borderId="10" xfId="0" applyFont="1" applyFill="1" applyBorder="1" applyAlignment="1" applyProtection="1">
      <alignment horizontal="right" vertical="center"/>
      <protection locked="0"/>
    </xf>
    <xf numFmtId="0" fontId="12" fillId="8" borderId="11" xfId="0" applyFont="1" applyFill="1" applyBorder="1" applyAlignment="1" applyProtection="1">
      <alignment horizontal="right" vertical="center"/>
      <protection locked="0"/>
    </xf>
    <xf numFmtId="0" fontId="12" fillId="8" borderId="12" xfId="0" applyFont="1" applyFill="1" applyBorder="1" applyAlignment="1" applyProtection="1">
      <alignment horizontal="right" vertical="center"/>
      <protection locked="0"/>
    </xf>
    <xf numFmtId="0" fontId="5" fillId="6" borderId="18" xfId="0" applyFont="1" applyFill="1" applyBorder="1" applyAlignment="1" applyProtection="1">
      <alignment horizontal="center" vertical="center"/>
      <protection hidden="1"/>
    </xf>
    <xf numFmtId="167" fontId="36" fillId="6" borderId="2" xfId="5" applyNumberFormat="1" applyFont="1" applyFill="1" applyBorder="1" applyAlignment="1" applyProtection="1">
      <alignment horizontal="center" vertical="center"/>
      <protection hidden="1"/>
    </xf>
    <xf numFmtId="167" fontId="36" fillId="6" borderId="3" xfId="5" applyNumberFormat="1" applyFont="1" applyFill="1" applyBorder="1" applyAlignment="1" applyProtection="1">
      <alignment horizontal="center" vertical="center"/>
      <protection hidden="1"/>
    </xf>
    <xf numFmtId="167" fontId="36" fillId="6" borderId="4" xfId="5" applyNumberFormat="1" applyFont="1" applyFill="1" applyBorder="1" applyAlignment="1" applyProtection="1">
      <alignment horizontal="center" vertical="center"/>
      <protection hidden="1"/>
    </xf>
    <xf numFmtId="167" fontId="36" fillId="6" borderId="19" xfId="5" applyNumberFormat="1" applyFont="1" applyFill="1" applyBorder="1" applyAlignment="1" applyProtection="1">
      <alignment horizontal="center" vertical="center"/>
      <protection hidden="1"/>
    </xf>
    <xf numFmtId="167" fontId="36" fillId="6" borderId="18" xfId="5" applyNumberFormat="1" applyFont="1" applyFill="1" applyBorder="1" applyAlignment="1" applyProtection="1">
      <alignment horizontal="center" vertical="center"/>
      <protection hidden="1"/>
    </xf>
    <xf numFmtId="167" fontId="36" fillId="6" borderId="20" xfId="5" applyNumberFormat="1" applyFont="1" applyFill="1" applyBorder="1" applyAlignment="1" applyProtection="1">
      <alignment horizontal="center" vertical="center"/>
      <protection hidden="1"/>
    </xf>
    <xf numFmtId="0" fontId="35" fillId="8" borderId="2" xfId="0" applyFont="1" applyFill="1" applyBorder="1" applyAlignment="1" applyProtection="1">
      <alignment horizontal="center" vertical="center"/>
      <protection locked="0" hidden="1"/>
    </xf>
    <xf numFmtId="0" fontId="35" fillId="8" borderId="4" xfId="0" applyFont="1" applyFill="1" applyBorder="1" applyAlignment="1" applyProtection="1">
      <alignment horizontal="center" vertical="center"/>
      <protection locked="0" hidden="1"/>
    </xf>
    <xf numFmtId="0" fontId="35" fillId="8" borderId="19" xfId="0" applyFont="1" applyFill="1" applyBorder="1" applyAlignment="1" applyProtection="1">
      <alignment horizontal="center" vertical="center"/>
      <protection locked="0" hidden="1"/>
    </xf>
    <xf numFmtId="0" fontId="35" fillId="8" borderId="20" xfId="0" applyFont="1" applyFill="1" applyBorder="1" applyAlignment="1" applyProtection="1">
      <alignment horizontal="center" vertical="center"/>
      <protection locked="0" hidden="1"/>
    </xf>
    <xf numFmtId="0" fontId="36" fillId="6" borderId="3" xfId="0" applyFont="1" applyFill="1" applyBorder="1" applyAlignment="1" applyProtection="1">
      <alignment horizontal="left" vertical="center"/>
      <protection hidden="1"/>
    </xf>
    <xf numFmtId="0" fontId="36" fillId="6" borderId="18" xfId="0" applyFont="1" applyFill="1" applyBorder="1" applyAlignment="1" applyProtection="1">
      <alignment horizontal="left" vertical="center"/>
      <protection hidden="1"/>
    </xf>
    <xf numFmtId="0" fontId="12" fillId="6" borderId="0" xfId="0" applyFont="1" applyFill="1" applyAlignment="1" applyProtection="1">
      <alignment horizontal="right"/>
      <protection hidden="1"/>
    </xf>
    <xf numFmtId="0" fontId="15" fillId="3" borderId="15" xfId="3" applyFont="1" applyBorder="1" applyAlignment="1" applyProtection="1">
      <alignment horizontal="center"/>
      <protection hidden="1"/>
    </xf>
    <xf numFmtId="0" fontId="15" fillId="3" borderId="16" xfId="3" applyFont="1" applyBorder="1" applyAlignment="1" applyProtection="1">
      <alignment horizontal="center"/>
      <protection hidden="1"/>
    </xf>
    <xf numFmtId="0" fontId="15" fillId="3" borderId="17" xfId="3" applyFont="1" applyBorder="1" applyAlignment="1" applyProtection="1">
      <alignment horizontal="center"/>
      <protection hidden="1"/>
    </xf>
    <xf numFmtId="0" fontId="5" fillId="6" borderId="93" xfId="0" applyFont="1" applyFill="1" applyBorder="1" applyAlignment="1" applyProtection="1">
      <alignment horizontal="center"/>
      <protection hidden="1"/>
    </xf>
    <xf numFmtId="0" fontId="22" fillId="9" borderId="33" xfId="0" applyFont="1" applyFill="1" applyBorder="1" applyAlignment="1" applyProtection="1">
      <alignment horizontal="center" vertical="center" wrapText="1"/>
      <protection hidden="1"/>
    </xf>
    <xf numFmtId="0" fontId="22" fillId="9" borderId="34" xfId="0" applyFont="1" applyFill="1" applyBorder="1" applyAlignment="1" applyProtection="1">
      <alignment horizontal="center" vertical="center" wrapText="1"/>
      <protection hidden="1"/>
    </xf>
    <xf numFmtId="0" fontId="22" fillId="9" borderId="35" xfId="0" applyFont="1" applyFill="1" applyBorder="1" applyAlignment="1" applyProtection="1">
      <alignment horizontal="center" vertical="center" wrapText="1"/>
      <protection hidden="1"/>
    </xf>
    <xf numFmtId="0" fontId="22" fillId="9" borderId="37" xfId="0" applyFont="1" applyFill="1" applyBorder="1" applyAlignment="1" applyProtection="1">
      <alignment horizontal="center" vertical="center" wrapText="1"/>
      <protection hidden="1"/>
    </xf>
    <xf numFmtId="3" fontId="12" fillId="6" borderId="0" xfId="0" applyNumberFormat="1" applyFont="1" applyFill="1" applyAlignment="1" applyProtection="1">
      <alignment horizontal="right"/>
      <protection hidden="1"/>
    </xf>
    <xf numFmtId="0" fontId="27" fillId="9" borderId="33" xfId="0" applyFont="1" applyFill="1" applyBorder="1" applyAlignment="1" applyProtection="1">
      <alignment horizontal="center" vertical="center"/>
      <protection hidden="1"/>
    </xf>
    <xf numFmtId="0" fontId="27" fillId="9" borderId="56" xfId="0" applyFont="1" applyFill="1" applyBorder="1" applyAlignment="1" applyProtection="1">
      <alignment horizontal="center" vertical="center"/>
      <protection hidden="1"/>
    </xf>
    <xf numFmtId="0" fontId="27" fillId="9" borderId="34" xfId="0" applyFont="1" applyFill="1" applyBorder="1" applyAlignment="1" applyProtection="1">
      <alignment horizontal="center" vertical="center"/>
      <protection hidden="1"/>
    </xf>
    <xf numFmtId="0" fontId="27" fillId="9" borderId="35" xfId="0" applyFont="1" applyFill="1" applyBorder="1" applyAlignment="1" applyProtection="1">
      <alignment horizontal="center" vertical="center"/>
      <protection hidden="1"/>
    </xf>
    <xf numFmtId="0" fontId="27" fillId="9" borderId="32" xfId="0" applyFont="1" applyFill="1" applyBorder="1" applyAlignment="1" applyProtection="1">
      <alignment horizontal="center" vertical="center"/>
      <protection hidden="1"/>
    </xf>
    <xf numFmtId="0" fontId="27" fillId="9" borderId="37" xfId="0" applyFont="1" applyFill="1" applyBorder="1" applyAlignment="1" applyProtection="1">
      <alignment horizontal="center" vertical="center"/>
      <protection hidden="1"/>
    </xf>
    <xf numFmtId="0" fontId="11" fillId="12" borderId="2" xfId="0" applyFont="1" applyFill="1" applyBorder="1" applyAlignment="1" applyProtection="1">
      <alignment horizontal="center" vertical="center"/>
      <protection hidden="1"/>
    </xf>
    <xf numFmtId="0" fontId="11" fillId="12" borderId="3" xfId="0" applyFont="1" applyFill="1" applyBorder="1" applyAlignment="1" applyProtection="1">
      <alignment horizontal="center" vertical="center"/>
      <protection hidden="1"/>
    </xf>
    <xf numFmtId="0" fontId="11" fillId="12" borderId="4" xfId="0" applyFont="1" applyFill="1" applyBorder="1" applyAlignment="1" applyProtection="1">
      <alignment horizontal="center" vertical="center"/>
      <protection hidden="1"/>
    </xf>
    <xf numFmtId="0" fontId="11" fillId="12" borderId="19" xfId="0" applyFont="1" applyFill="1" applyBorder="1" applyAlignment="1" applyProtection="1">
      <alignment horizontal="center" vertical="center"/>
      <protection hidden="1"/>
    </xf>
    <xf numFmtId="0" fontId="11" fillId="12" borderId="18" xfId="0" applyFont="1" applyFill="1" applyBorder="1" applyAlignment="1" applyProtection="1">
      <alignment horizontal="center" vertical="center"/>
      <protection hidden="1"/>
    </xf>
    <xf numFmtId="0" fontId="11" fillId="12" borderId="20" xfId="0" applyFont="1" applyFill="1" applyBorder="1" applyAlignment="1" applyProtection="1">
      <alignment horizontal="center" vertical="center"/>
      <protection hidden="1"/>
    </xf>
    <xf numFmtId="0" fontId="13" fillId="7" borderId="7" xfId="0" applyFont="1" applyFill="1" applyBorder="1" applyAlignment="1" applyProtection="1">
      <alignment horizontal="center" vertical="center"/>
      <protection hidden="1"/>
    </xf>
    <xf numFmtId="0" fontId="13" fillId="7" borderId="8" xfId="0" applyFont="1" applyFill="1" applyBorder="1" applyAlignment="1" applyProtection="1">
      <alignment horizontal="center" vertical="center"/>
      <protection hidden="1"/>
    </xf>
    <xf numFmtId="0" fontId="13" fillId="7" borderId="9" xfId="0" applyFont="1" applyFill="1" applyBorder="1" applyAlignment="1" applyProtection="1">
      <alignment horizontal="center" vertical="center"/>
      <protection hidden="1"/>
    </xf>
    <xf numFmtId="0" fontId="27" fillId="6" borderId="92" xfId="0" applyFont="1" applyFill="1" applyBorder="1" applyAlignment="1" applyProtection="1">
      <alignment horizontal="center"/>
      <protection hidden="1"/>
    </xf>
    <xf numFmtId="0" fontId="32" fillId="6" borderId="92" xfId="0" applyFont="1" applyFill="1" applyBorder="1" applyAlignment="1" applyProtection="1">
      <alignment horizontal="center"/>
      <protection hidden="1"/>
    </xf>
    <xf numFmtId="0" fontId="18" fillId="2" borderId="15" xfId="2" applyFont="1" applyBorder="1" applyAlignment="1" applyProtection="1">
      <alignment horizontal="center"/>
      <protection hidden="1"/>
    </xf>
    <xf numFmtId="0" fontId="18" fillId="2" borderId="16" xfId="2" applyFont="1" applyBorder="1" applyAlignment="1" applyProtection="1">
      <alignment horizontal="center"/>
      <protection hidden="1"/>
    </xf>
    <xf numFmtId="0" fontId="18" fillId="2" borderId="17" xfId="2" applyFont="1" applyBorder="1" applyAlignment="1" applyProtection="1">
      <alignment horizontal="center"/>
      <protection hidden="1"/>
    </xf>
    <xf numFmtId="0" fontId="11" fillId="5" borderId="2" xfId="0" applyFont="1" applyFill="1" applyBorder="1" applyAlignment="1" applyProtection="1">
      <alignment horizontal="center" vertical="center"/>
      <protection hidden="1"/>
    </xf>
    <xf numFmtId="0" fontId="11" fillId="5" borderId="3" xfId="0" applyFont="1" applyFill="1" applyBorder="1" applyAlignment="1" applyProtection="1">
      <alignment horizontal="center" vertical="center"/>
      <protection hidden="1"/>
    </xf>
    <xf numFmtId="0" fontId="11" fillId="5" borderId="4" xfId="0" applyFont="1" applyFill="1" applyBorder="1" applyAlignment="1" applyProtection="1">
      <alignment horizontal="center" vertical="center"/>
      <protection hidden="1"/>
    </xf>
    <xf numFmtId="0" fontId="11" fillId="5" borderId="5" xfId="0" applyFont="1" applyFill="1" applyBorder="1" applyAlignment="1" applyProtection="1">
      <alignment horizontal="center" vertical="center"/>
      <protection hidden="1"/>
    </xf>
    <xf numFmtId="0" fontId="11" fillId="5" borderId="0" xfId="0" applyFont="1" applyFill="1" applyAlignment="1" applyProtection="1">
      <alignment horizontal="center" vertical="center"/>
      <protection hidden="1"/>
    </xf>
    <xf numFmtId="0" fontId="11" fillId="5" borderId="6" xfId="0" applyFont="1" applyFill="1" applyBorder="1" applyAlignment="1" applyProtection="1">
      <alignment horizontal="center" vertical="center"/>
      <protection hidden="1"/>
    </xf>
    <xf numFmtId="179" fontId="32" fillId="6" borderId="0" xfId="0" applyNumberFormat="1" applyFont="1" applyFill="1" applyAlignment="1" applyProtection="1">
      <alignment horizontal="center"/>
      <protection hidden="1"/>
    </xf>
    <xf numFmtId="164" fontId="12" fillId="4" borderId="10" xfId="4" applyNumberFormat="1" applyFont="1" applyBorder="1" applyAlignment="1" applyProtection="1">
      <alignment horizontal="right" vertical="center"/>
      <protection locked="0" hidden="1"/>
    </xf>
    <xf numFmtId="164" fontId="12" fillId="4" borderId="11" xfId="4" applyNumberFormat="1" applyFont="1" applyBorder="1" applyAlignment="1" applyProtection="1">
      <alignment horizontal="right" vertical="center"/>
      <protection locked="0" hidden="1"/>
    </xf>
    <xf numFmtId="164" fontId="12" fillId="4" borderId="12" xfId="4" applyNumberFormat="1" applyFont="1" applyBorder="1" applyAlignment="1" applyProtection="1">
      <alignment horizontal="right" vertical="center"/>
      <protection locked="0" hidden="1"/>
    </xf>
    <xf numFmtId="166" fontId="6" fillId="6" borderId="0" xfId="0" applyNumberFormat="1" applyFont="1" applyFill="1" applyAlignment="1" applyProtection="1">
      <alignment horizontal="center"/>
      <protection hidden="1"/>
    </xf>
    <xf numFmtId="0" fontId="7" fillId="11" borderId="0" xfId="0" applyFont="1" applyFill="1" applyAlignment="1" applyProtection="1">
      <alignment horizontal="right" vertical="center"/>
      <protection hidden="1"/>
    </xf>
    <xf numFmtId="0" fontId="11" fillId="12" borderId="5" xfId="0" applyFont="1" applyFill="1" applyBorder="1" applyAlignment="1" applyProtection="1">
      <alignment horizontal="center" vertical="center"/>
      <protection hidden="1"/>
    </xf>
    <xf numFmtId="0" fontId="11" fillId="12" borderId="0" xfId="0" applyFont="1" applyFill="1" applyAlignment="1" applyProtection="1">
      <alignment horizontal="center" vertical="center"/>
      <protection hidden="1"/>
    </xf>
    <xf numFmtId="0" fontId="11" fillId="12" borderId="6" xfId="0" applyFont="1" applyFill="1" applyBorder="1" applyAlignment="1" applyProtection="1">
      <alignment horizontal="center" vertical="center"/>
      <protection hidden="1"/>
    </xf>
    <xf numFmtId="0" fontId="35" fillId="6" borderId="2" xfId="0" applyFont="1" applyFill="1" applyBorder="1" applyAlignment="1" applyProtection="1">
      <alignment horizontal="center" vertical="center"/>
      <protection hidden="1"/>
    </xf>
    <xf numFmtId="0" fontId="35" fillId="6" borderId="3" xfId="0" applyFont="1" applyFill="1" applyBorder="1" applyAlignment="1" applyProtection="1">
      <alignment horizontal="center" vertical="center"/>
      <protection hidden="1"/>
    </xf>
    <xf numFmtId="0" fontId="35" fillId="6" borderId="4" xfId="0" applyFont="1" applyFill="1" applyBorder="1" applyAlignment="1" applyProtection="1">
      <alignment horizontal="center" vertical="center"/>
      <protection hidden="1"/>
    </xf>
    <xf numFmtId="0" fontId="35" fillId="6" borderId="19" xfId="0" applyFont="1" applyFill="1" applyBorder="1" applyAlignment="1" applyProtection="1">
      <alignment horizontal="center" vertical="center"/>
      <protection hidden="1"/>
    </xf>
    <xf numFmtId="0" fontId="35" fillId="6" borderId="18" xfId="0" applyFont="1" applyFill="1" applyBorder="1" applyAlignment="1" applyProtection="1">
      <alignment horizontal="center" vertical="center"/>
      <protection hidden="1"/>
    </xf>
    <xf numFmtId="0" fontId="35" fillId="6" borderId="20" xfId="0" applyFont="1" applyFill="1" applyBorder="1" applyAlignment="1" applyProtection="1">
      <alignment horizontal="center" vertical="center"/>
      <protection hidden="1"/>
    </xf>
    <xf numFmtId="0" fontId="13" fillId="7" borderId="7" xfId="0" applyFont="1" applyFill="1" applyBorder="1" applyAlignment="1" applyProtection="1">
      <alignment horizontal="right"/>
      <protection locked="0" hidden="1"/>
    </xf>
    <xf numFmtId="0" fontId="13" fillId="7" borderId="9" xfId="0" applyFont="1" applyFill="1" applyBorder="1" applyAlignment="1" applyProtection="1">
      <alignment horizontal="right"/>
      <protection locked="0" hidden="1"/>
    </xf>
    <xf numFmtId="0" fontId="13" fillId="6" borderId="0" xfId="0" applyFont="1" applyFill="1" applyAlignment="1" applyProtection="1">
      <alignment horizontal="center" vertical="center" wrapText="1"/>
      <protection hidden="1"/>
    </xf>
    <xf numFmtId="168" fontId="21" fillId="6" borderId="0" xfId="0" applyNumberFormat="1" applyFont="1" applyFill="1" applyAlignment="1" applyProtection="1">
      <alignment horizontal="center" vertical="center"/>
      <protection hidden="1"/>
    </xf>
    <xf numFmtId="0" fontId="20" fillId="6" borderId="13" xfId="0" applyFont="1" applyFill="1" applyBorder="1" applyAlignment="1" applyProtection="1">
      <alignment horizontal="center" vertical="center" wrapText="1"/>
      <protection hidden="1"/>
    </xf>
    <xf numFmtId="0" fontId="20" fillId="6" borderId="0" xfId="0" applyFont="1" applyFill="1" applyAlignment="1" applyProtection="1">
      <alignment horizontal="center" vertical="center" wrapText="1"/>
      <protection hidden="1"/>
    </xf>
    <xf numFmtId="0" fontId="20" fillId="6" borderId="14" xfId="0" applyFont="1" applyFill="1" applyBorder="1" applyAlignment="1" applyProtection="1">
      <alignment horizontal="center" vertical="center" wrapText="1"/>
      <protection hidden="1"/>
    </xf>
    <xf numFmtId="0" fontId="20" fillId="6" borderId="22" xfId="0" applyFont="1" applyFill="1" applyBorder="1" applyAlignment="1" applyProtection="1">
      <alignment horizontal="center" vertical="center" wrapText="1"/>
      <protection hidden="1"/>
    </xf>
    <xf numFmtId="0" fontId="20" fillId="6" borderId="23" xfId="0" applyFont="1" applyFill="1" applyBorder="1" applyAlignment="1" applyProtection="1">
      <alignment horizontal="center" vertical="center" wrapText="1"/>
      <protection hidden="1"/>
    </xf>
    <xf numFmtId="0" fontId="20" fillId="6" borderId="24" xfId="0" applyFont="1" applyFill="1" applyBorder="1" applyAlignment="1" applyProtection="1">
      <alignment horizontal="center" vertical="center" wrapText="1"/>
      <protection hidden="1"/>
    </xf>
    <xf numFmtId="0" fontId="13" fillId="6" borderId="0" xfId="0" applyFont="1" applyFill="1" applyAlignment="1" applyProtection="1">
      <alignment horizontal="center" vertical="center"/>
      <protection hidden="1"/>
    </xf>
    <xf numFmtId="0" fontId="21" fillId="6" borderId="0" xfId="0" applyFont="1" applyFill="1" applyAlignment="1" applyProtection="1">
      <alignment horizontal="center" vertical="center"/>
      <protection hidden="1"/>
    </xf>
    <xf numFmtId="2" fontId="12" fillId="6" borderId="0" xfId="0" applyNumberFormat="1" applyFont="1" applyFill="1" applyAlignment="1" applyProtection="1">
      <alignment horizontal="right" vertical="center"/>
      <protection hidden="1"/>
    </xf>
    <xf numFmtId="0" fontId="27" fillId="6" borderId="92" xfId="0" applyFont="1" applyFill="1" applyBorder="1" applyAlignment="1" applyProtection="1">
      <alignment horizontal="left"/>
      <protection hidden="1"/>
    </xf>
    <xf numFmtId="0" fontId="13" fillId="7" borderId="7" xfId="0" applyFont="1" applyFill="1" applyBorder="1" applyAlignment="1" applyProtection="1">
      <alignment horizontal="right" vertical="center"/>
      <protection hidden="1"/>
    </xf>
    <xf numFmtId="0" fontId="13" fillId="7" borderId="8" xfId="0" applyFont="1" applyFill="1" applyBorder="1" applyAlignment="1" applyProtection="1">
      <alignment horizontal="right" vertical="center"/>
      <protection hidden="1"/>
    </xf>
    <xf numFmtId="169" fontId="12" fillId="6" borderId="0" xfId="0" applyNumberFormat="1" applyFont="1" applyFill="1" applyAlignment="1" applyProtection="1">
      <alignment horizontal="right"/>
      <protection hidden="1"/>
    </xf>
    <xf numFmtId="0" fontId="21" fillId="8" borderId="2" xfId="0" applyFont="1" applyFill="1" applyBorder="1" applyAlignment="1" applyProtection="1">
      <alignment horizontal="center" vertical="center"/>
      <protection locked="0" hidden="1"/>
    </xf>
    <xf numFmtId="0" fontId="21" fillId="8" borderId="3" xfId="0" applyFont="1" applyFill="1" applyBorder="1" applyAlignment="1" applyProtection="1">
      <alignment horizontal="center" vertical="center"/>
      <protection locked="0" hidden="1"/>
    </xf>
    <xf numFmtId="0" fontId="21" fillId="8" borderId="4" xfId="0" applyFont="1" applyFill="1" applyBorder="1" applyAlignment="1" applyProtection="1">
      <alignment horizontal="center" vertical="center"/>
      <protection locked="0" hidden="1"/>
    </xf>
    <xf numFmtId="0" fontId="21" fillId="8" borderId="5" xfId="0" applyFont="1" applyFill="1" applyBorder="1" applyAlignment="1" applyProtection="1">
      <alignment horizontal="center" vertical="center"/>
      <protection locked="0" hidden="1"/>
    </xf>
    <xf numFmtId="0" fontId="21" fillId="8" borderId="0" xfId="0" applyFont="1" applyFill="1" applyAlignment="1" applyProtection="1">
      <alignment horizontal="center" vertical="center"/>
      <protection locked="0" hidden="1"/>
    </xf>
    <xf numFmtId="0" fontId="21" fillId="8" borderId="6" xfId="0" applyFont="1" applyFill="1" applyBorder="1" applyAlignment="1" applyProtection="1">
      <alignment horizontal="center" vertical="center"/>
      <protection locked="0" hidden="1"/>
    </xf>
    <xf numFmtId="0" fontId="21" fillId="8" borderId="19" xfId="0" applyFont="1" applyFill="1" applyBorder="1" applyAlignment="1" applyProtection="1">
      <alignment horizontal="center" vertical="center"/>
      <protection locked="0" hidden="1"/>
    </xf>
    <xf numFmtId="0" fontId="21" fillId="8" borderId="18" xfId="0" applyFont="1" applyFill="1" applyBorder="1" applyAlignment="1" applyProtection="1">
      <alignment horizontal="center" vertical="center"/>
      <protection locked="0" hidden="1"/>
    </xf>
    <xf numFmtId="0" fontId="21" fillId="8" borderId="20" xfId="0" applyFont="1" applyFill="1" applyBorder="1" applyAlignment="1" applyProtection="1">
      <alignment horizontal="center" vertical="center"/>
      <protection locked="0" hidden="1"/>
    </xf>
    <xf numFmtId="0" fontId="12" fillId="8" borderId="11" xfId="0" applyFont="1" applyFill="1" applyBorder="1" applyAlignment="1" applyProtection="1">
      <alignment horizontal="right" vertical="center"/>
      <protection locked="0" hidden="1"/>
    </xf>
    <xf numFmtId="0" fontId="5" fillId="6" borderId="5" xfId="0" applyFont="1" applyFill="1" applyBorder="1" applyAlignment="1" applyProtection="1">
      <alignment horizontal="center"/>
      <protection hidden="1"/>
    </xf>
    <xf numFmtId="0" fontId="5" fillId="6" borderId="6" xfId="0" applyFont="1" applyFill="1" applyBorder="1" applyAlignment="1" applyProtection="1">
      <alignment horizontal="center"/>
      <protection hidden="1"/>
    </xf>
    <xf numFmtId="0" fontId="17" fillId="10" borderId="33" xfId="0" applyFont="1" applyFill="1" applyBorder="1" applyAlignment="1" applyProtection="1">
      <alignment horizontal="center" vertical="center"/>
      <protection hidden="1"/>
    </xf>
    <xf numFmtId="0" fontId="17" fillId="10" borderId="56" xfId="0" applyFont="1" applyFill="1" applyBorder="1" applyAlignment="1" applyProtection="1">
      <alignment horizontal="center" vertical="center"/>
      <protection hidden="1"/>
    </xf>
    <xf numFmtId="0" fontId="17" fillId="10" borderId="38" xfId="0" applyFont="1" applyFill="1" applyBorder="1" applyAlignment="1" applyProtection="1">
      <alignment horizontal="center" vertical="center"/>
      <protection hidden="1"/>
    </xf>
    <xf numFmtId="0" fontId="17" fillId="10" borderId="0" xfId="0" applyFont="1" applyFill="1" applyAlignment="1" applyProtection="1">
      <alignment horizontal="center" vertical="center"/>
      <protection hidden="1"/>
    </xf>
    <xf numFmtId="0" fontId="5" fillId="10" borderId="56" xfId="0" applyFont="1" applyFill="1" applyBorder="1" applyAlignment="1" applyProtection="1">
      <alignment horizontal="center"/>
      <protection hidden="1"/>
    </xf>
    <xf numFmtId="0" fontId="5" fillId="10" borderId="34" xfId="0" applyFont="1" applyFill="1" applyBorder="1" applyAlignment="1" applyProtection="1">
      <alignment horizontal="center"/>
      <protection hidden="1"/>
    </xf>
    <xf numFmtId="0" fontId="5" fillId="10" borderId="0" xfId="0" applyFont="1" applyFill="1" applyAlignment="1" applyProtection="1">
      <alignment horizontal="center"/>
      <protection hidden="1"/>
    </xf>
    <xf numFmtId="0" fontId="5" fillId="10" borderId="80" xfId="0" applyFont="1" applyFill="1" applyBorder="1" applyAlignment="1" applyProtection="1">
      <alignment horizontal="center"/>
      <protection hidden="1"/>
    </xf>
    <xf numFmtId="0" fontId="5" fillId="10" borderId="38" xfId="0" applyFont="1" applyFill="1" applyBorder="1" applyAlignment="1" applyProtection="1">
      <alignment horizontal="center"/>
      <protection hidden="1"/>
    </xf>
    <xf numFmtId="0" fontId="5" fillId="10" borderId="35" xfId="0" applyFont="1" applyFill="1" applyBorder="1" applyAlignment="1" applyProtection="1">
      <alignment horizontal="center"/>
      <protection hidden="1"/>
    </xf>
    <xf numFmtId="0" fontId="5" fillId="10" borderId="32" xfId="0" applyFont="1" applyFill="1" applyBorder="1" applyAlignment="1" applyProtection="1">
      <alignment horizontal="center"/>
      <protection hidden="1"/>
    </xf>
    <xf numFmtId="0" fontId="17" fillId="10" borderId="80" xfId="0" applyFont="1" applyFill="1" applyBorder="1" applyAlignment="1" applyProtection="1">
      <alignment horizontal="center" vertical="center"/>
      <protection hidden="1"/>
    </xf>
    <xf numFmtId="0" fontId="17" fillId="10" borderId="32" xfId="0" applyFont="1" applyFill="1" applyBorder="1" applyAlignment="1" applyProtection="1">
      <alignment horizontal="center" vertical="center"/>
      <protection hidden="1"/>
    </xf>
    <xf numFmtId="0" fontId="17" fillId="10" borderId="37" xfId="0" applyFont="1" applyFill="1" applyBorder="1" applyAlignment="1" applyProtection="1">
      <alignment horizontal="center" vertical="center"/>
      <protection hidden="1"/>
    </xf>
    <xf numFmtId="0" fontId="25" fillId="9" borderId="41" xfId="0" applyFont="1" applyFill="1" applyBorder="1" applyAlignment="1" applyProtection="1">
      <alignment horizontal="center"/>
      <protection hidden="1"/>
    </xf>
    <xf numFmtId="0" fontId="26" fillId="0" borderId="71" xfId="0" applyFont="1" applyBorder="1" applyAlignment="1" applyProtection="1">
      <alignment horizontal="center" vertical="center" wrapText="1"/>
      <protection hidden="1"/>
    </xf>
    <xf numFmtId="0" fontId="26" fillId="0" borderId="56"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0" borderId="70" xfId="0" applyFont="1" applyBorder="1" applyAlignment="1" applyProtection="1">
      <alignment horizontal="center" vertical="center" wrapText="1"/>
      <protection hidden="1"/>
    </xf>
    <xf numFmtId="0" fontId="26" fillId="0" borderId="0" xfId="0" applyFont="1" applyAlignment="1" applyProtection="1">
      <alignment horizontal="center" vertical="center" wrapText="1"/>
      <protection hidden="1"/>
    </xf>
    <xf numFmtId="0" fontId="26" fillId="0" borderId="73" xfId="0" applyFont="1" applyBorder="1" applyAlignment="1" applyProtection="1">
      <alignment horizontal="center" vertical="center" wrapText="1"/>
      <protection hidden="1"/>
    </xf>
    <xf numFmtId="0" fontId="26" fillId="0" borderId="74" xfId="0" applyFont="1" applyBorder="1" applyAlignment="1" applyProtection="1">
      <alignment horizontal="center" vertical="center" wrapText="1"/>
      <protection hidden="1"/>
    </xf>
    <xf numFmtId="0" fontId="26" fillId="0" borderId="75" xfId="0" applyFont="1" applyBorder="1" applyAlignment="1" applyProtection="1">
      <alignment horizontal="center" vertical="center" wrapText="1"/>
      <protection hidden="1"/>
    </xf>
    <xf numFmtId="0" fontId="26" fillId="0" borderId="76" xfId="0" applyFont="1" applyBorder="1" applyAlignment="1" applyProtection="1">
      <alignment horizontal="center" vertical="center" wrapText="1"/>
      <protection hidden="1"/>
    </xf>
  </cellXfs>
  <cellStyles count="9">
    <cellStyle name="Dezimal 2" xfId="5" xr:uid="{00000000-0005-0000-0000-000001000000}"/>
    <cellStyle name="Euro" xfId="6" xr:uid="{00000000-0005-0000-0000-000002000000}"/>
    <cellStyle name="Neutraal" xfId="3" builtinId="28"/>
    <cellStyle name="Ongeldig" xfId="2" builtinId="27"/>
    <cellStyle name="Procent" xfId="1" builtinId="5"/>
    <cellStyle name="Prozent 2" xfId="7" xr:uid="{00000000-0005-0000-0000-000005000000}"/>
    <cellStyle name="Standaard" xfId="0" builtinId="0"/>
    <cellStyle name="Standard 2" xfId="8" xr:uid="{00000000-0005-0000-0000-000008000000}"/>
    <cellStyle name="Uitvoer" xfId="4" builtinId="21"/>
  </cellStyles>
  <dxfs count="4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theme="0"/>
      </font>
      <border>
        <left/>
        <right/>
        <top/>
        <bottom/>
        <vertical/>
        <horizontal/>
      </border>
    </dxf>
    <dxf>
      <font>
        <color theme="0"/>
      </font>
      <border>
        <bottom/>
        <vertical/>
        <horizontal/>
      </border>
    </dxf>
    <dxf>
      <font>
        <color theme="0"/>
      </font>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right/>
        <bottom/>
        <vertical/>
        <horizontal/>
      </border>
    </dxf>
    <dxf>
      <font>
        <color theme="0"/>
      </font>
      <border>
        <right/>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
      <border>
        <bottom/>
        <vertical/>
        <horizontal/>
      </border>
    </dxf>
    <dxf>
      <border>
        <bottom/>
      </border>
    </dxf>
    <dxf>
      <font>
        <color rgb="FF9C0006"/>
      </font>
      <fill>
        <patternFill>
          <bgColor rgb="FFFFCCCC"/>
        </patternFill>
      </fill>
    </dxf>
    <dxf>
      <font>
        <color rgb="FF9C0006"/>
      </font>
      <fill>
        <patternFill>
          <bgColor rgb="FFFFCCCC"/>
        </patternFill>
      </fill>
    </dxf>
    <dxf>
      <font>
        <color rgb="FF00B050"/>
      </font>
      <fill>
        <patternFill patternType="solid">
          <fgColor auto="1"/>
          <bgColor rgb="FFBAE18F"/>
        </patternFill>
      </fill>
      <border>
        <left style="thin">
          <color theme="6" tint="-0.24994659260841701"/>
        </left>
        <right style="thin">
          <color theme="6" tint="-0.24994659260841701"/>
        </right>
        <top style="thin">
          <color theme="6" tint="-0.24994659260841701"/>
        </top>
        <bottom style="thin">
          <color theme="6" tint="-0.24994659260841701"/>
        </bottom>
        <vertical/>
        <horizontal/>
      </border>
    </dxf>
    <dxf>
      <font>
        <color rgb="FF00B050"/>
      </font>
      <fill>
        <patternFill patternType="solid">
          <fgColor auto="1"/>
          <bgColor rgb="FFBAE18F"/>
        </patternFill>
      </fill>
      <border>
        <left style="thin">
          <color theme="6" tint="-0.24994659260841701"/>
        </left>
        <right style="thin">
          <color theme="6" tint="-0.24994659260841701"/>
        </right>
        <top style="thin">
          <color theme="6" tint="-0.24994659260841701"/>
        </top>
        <bottom style="thin">
          <color theme="6" tint="-0.24994659260841701"/>
        </bottom>
        <vertical/>
        <horizontal/>
      </border>
    </dxf>
    <dxf>
      <font>
        <color rgb="FF9C0006"/>
      </font>
      <fill>
        <patternFill>
          <bgColor rgb="FFFFC7CE"/>
        </patternFill>
      </fill>
    </dxf>
    <dxf>
      <font>
        <color rgb="FF00B050"/>
      </font>
      <fill>
        <patternFill>
          <bgColor rgb="FFBAE18F"/>
        </patternFill>
      </fill>
    </dxf>
    <dxf>
      <font>
        <color rgb="FF9C0006"/>
      </font>
      <fill>
        <patternFill>
          <bgColor rgb="FFFFC7CE"/>
        </patternFill>
      </fill>
    </dxf>
    <dxf>
      <font>
        <color rgb="FF00B050"/>
      </font>
      <fill>
        <patternFill>
          <bgColor rgb="FFBAE18F"/>
        </patternFill>
      </fill>
    </dxf>
    <dxf>
      <font>
        <color rgb="FF00B050"/>
      </font>
      <fill>
        <patternFill patternType="solid">
          <fgColor auto="1"/>
          <bgColor rgb="FFBAE18F"/>
        </patternFill>
      </fill>
      <border>
        <left style="thin">
          <color theme="6" tint="-0.24994659260841701"/>
        </left>
        <right style="thin">
          <color theme="6" tint="-0.24994659260841701"/>
        </right>
        <top style="thin">
          <color theme="6" tint="-0.24994659260841701"/>
        </top>
        <bottom style="thin">
          <color theme="6" tint="-0.24994659260841701"/>
        </bottom>
        <vertical/>
        <horizontal/>
      </border>
    </dxf>
    <dxf>
      <font>
        <color rgb="FF00B050"/>
      </font>
      <fill>
        <patternFill patternType="solid">
          <fgColor auto="1"/>
          <bgColor rgb="FFBAE18F"/>
        </patternFill>
      </fill>
      <border>
        <left style="thin">
          <color theme="6" tint="-0.24994659260841701"/>
        </left>
        <right style="thin">
          <color theme="6" tint="-0.24994659260841701"/>
        </right>
        <top style="thin">
          <color theme="6" tint="-0.24994659260841701"/>
        </top>
        <bottom style="thin">
          <color theme="6" tint="-0.24994659260841701"/>
        </bottom>
        <vertical/>
        <horizontal/>
      </border>
    </dxf>
    <dxf>
      <font>
        <color rgb="FF00B050"/>
      </font>
      <fill>
        <patternFill patternType="solid">
          <fgColor auto="1"/>
          <bgColor rgb="FFBAE18F"/>
        </patternFill>
      </fill>
      <border>
        <left style="thin">
          <color theme="6" tint="-0.24994659260841701"/>
        </left>
        <right style="thin">
          <color theme="6" tint="-0.24994659260841701"/>
        </right>
        <top style="thin">
          <color theme="6" tint="-0.24994659260841701"/>
        </top>
        <bottom style="thin">
          <color theme="6" tint="-0.24994659260841701"/>
        </bottom>
        <vertical/>
        <horizontal/>
      </border>
    </dxf>
    <dxf>
      <font>
        <color rgb="FF9C0006"/>
      </font>
      <fill>
        <patternFill>
          <bgColor rgb="FFFFC7CE"/>
        </patternFill>
      </fill>
    </dxf>
    <dxf>
      <font>
        <color rgb="FF00B050"/>
      </font>
      <fill>
        <patternFill patternType="solid">
          <fgColor auto="1"/>
          <bgColor rgb="FFBAE18F"/>
        </patternFill>
      </fill>
      <border>
        <left style="thin">
          <color theme="6" tint="-0.24994659260841701"/>
        </left>
        <right style="thin">
          <color theme="6" tint="-0.24994659260841701"/>
        </right>
        <top style="thin">
          <color theme="6" tint="-0.24994659260841701"/>
        </top>
        <bottom style="thin">
          <color theme="6" tint="-0.24994659260841701"/>
        </bottom>
        <vertical/>
        <horizontal/>
      </border>
    </dxf>
    <dxf>
      <font>
        <color rgb="FF00B050"/>
      </font>
      <fill>
        <patternFill patternType="solid">
          <fgColor auto="1"/>
          <bgColor rgb="FFBAE18F"/>
        </patternFill>
      </fill>
      <border>
        <left style="thin">
          <color theme="6" tint="-0.24994659260841701"/>
        </left>
        <right style="thin">
          <color theme="6" tint="-0.24994659260841701"/>
        </right>
        <top style="thin">
          <color theme="6" tint="-0.24994659260841701"/>
        </top>
        <bottom style="thin">
          <color theme="6" tint="-0.24994659260841701"/>
        </bottom>
        <vertical/>
        <horizontal/>
      </border>
    </dxf>
    <dxf>
      <font>
        <color rgb="FF00B050"/>
      </font>
      <fill>
        <patternFill patternType="solid">
          <fgColor auto="1"/>
          <bgColor rgb="FFBAE18F"/>
        </patternFill>
      </fill>
      <border>
        <left style="thin">
          <color theme="6" tint="-0.24994659260841701"/>
        </left>
        <right style="thin">
          <color theme="6" tint="-0.24994659260841701"/>
        </right>
        <top style="thin">
          <color theme="6" tint="-0.24994659260841701"/>
        </top>
        <bottom style="thin">
          <color theme="6" tint="-0.24994659260841701"/>
        </bottom>
        <vertical/>
        <horizontal/>
      </border>
    </dxf>
    <dxf>
      <font>
        <color rgb="FF00B050"/>
      </font>
      <fill>
        <patternFill patternType="solid">
          <fgColor auto="1"/>
          <bgColor rgb="FFBAE18F"/>
        </patternFill>
      </fill>
      <border>
        <left style="thin">
          <color theme="6" tint="-0.24994659260841701"/>
        </left>
        <right style="thin">
          <color theme="6" tint="-0.24994659260841701"/>
        </right>
        <top style="thin">
          <color theme="6" tint="-0.24994659260841701"/>
        </top>
        <bottom style="thin">
          <color theme="6" tint="-0.24994659260841701"/>
        </bottom>
        <vertical/>
        <horizontal/>
      </border>
    </dxf>
    <dxf>
      <font>
        <color rgb="FF00B050"/>
      </font>
      <fill>
        <patternFill patternType="solid">
          <fgColor auto="1"/>
          <bgColor rgb="FFBAE18F"/>
        </patternFill>
      </fill>
      <border>
        <left style="thin">
          <color theme="6" tint="-0.24994659260841701"/>
        </left>
        <right style="thin">
          <color theme="6" tint="-0.24994659260841701"/>
        </right>
        <top style="thin">
          <color theme="6" tint="-0.24994659260841701"/>
        </top>
        <bottom style="thin">
          <color theme="6" tint="-0.24994659260841701"/>
        </bottom>
        <vertical/>
        <horizontal/>
      </border>
    </dxf>
    <dxf>
      <border>
        <left style="thin">
          <color theme="0"/>
        </left>
        <right style="thin">
          <color theme="0"/>
        </right>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border>
        <bottom/>
        <vertical/>
        <horizontal/>
      </border>
    </dxf>
    <dxf>
      <border>
        <left/>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rgb="FFC00000"/>
      </font>
      <fill>
        <patternFill>
          <bgColor rgb="FFFF7C80"/>
        </patternFill>
      </fill>
    </dxf>
    <dxf>
      <font>
        <color rgb="FFC00000"/>
      </font>
      <fill>
        <patternFill>
          <bgColor rgb="FFFF7C80"/>
        </patternFill>
      </fill>
    </dxf>
    <dxf>
      <font>
        <color rgb="FF9C6500"/>
      </font>
      <fill>
        <patternFill>
          <bgColor rgb="FFFFEB9C"/>
        </patternFill>
      </fill>
    </dxf>
  </dxfs>
  <tableStyles count="0" defaultTableStyle="TableStyleMedium9" defaultPivotStyle="PivotStyleLight16"/>
  <colors>
    <mruColors>
      <color rgb="FFF7B12A"/>
      <color rgb="FF9C0006"/>
      <color rgb="FFFFCCCC"/>
      <color rgb="FFFF9999"/>
      <color rgb="FFFFEB9C"/>
      <color rgb="FFFFFF66"/>
      <color rgb="FF9C6500"/>
      <color rgb="FFFF7C80"/>
      <color rgb="FFFF5050"/>
      <color rgb="FF71B3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'String Design'!$BP$39</c:f>
              <c:strCache>
                <c:ptCount val="1"/>
                <c:pt idx="0">
                  <c:v>Laden</c:v>
                </c:pt>
              </c:strCache>
            </c:strRef>
          </c:tx>
          <c:spPr>
            <a:solidFill>
              <a:srgbClr val="71B326"/>
            </a:solidFill>
            <a:ln>
              <a:noFill/>
            </a:ln>
            <a:effectLst/>
          </c:spPr>
          <c:invertIfNegative val="0"/>
          <c:dLbls>
            <c:numFmt formatCode="0.0\ &quot;kW&quot;"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'String Design'!$BN$38:$BO$38</c:f>
              <c:strCache>
                <c:ptCount val="2"/>
                <c:pt idx="0">
                  <c:v>Net</c:v>
                </c:pt>
                <c:pt idx="1">
                  <c:v>Backup</c:v>
                </c:pt>
              </c:strCache>
            </c:strRef>
          </c:cat>
          <c:val>
            <c:numRef>
              <c:f>'String Design'!$BN$39:$BO$39</c:f>
              <c:numCache>
                <c:formatCode>0.0\ "kW"</c:formatCode>
                <c:ptCount val="2"/>
                <c:pt idx="0">
                  <c:v>5</c:v>
                </c:pt>
                <c:pt idx="1">
                  <c:v>5</c:v>
                </c:pt>
              </c:numCache>
            </c:numRef>
          </c:val>
          <c:extLst>
            <c:ext xmlns:c16="http://schemas.microsoft.com/office/drawing/2014/chart" uri="{C3380CC4-5D6E-409C-BE32-E72D297353CC}">
              <c16:uniqueId val="{00000000-C1AC-48C4-AA81-B4DC7565C4B7}"/>
            </c:ext>
          </c:extLst>
        </c:ser>
        <c:ser>
          <c:idx val="1"/>
          <c:order val="1"/>
          <c:tx>
            <c:strRef>
              <c:f>'String Design'!$BP$40</c:f>
              <c:strCache>
                <c:ptCount val="1"/>
                <c:pt idx="0">
                  <c:v>Ontladen</c:v>
                </c:pt>
              </c:strCache>
            </c:strRef>
          </c:tx>
          <c:spPr>
            <a:solidFill>
              <a:srgbClr val="F7B12A"/>
            </a:solidFill>
            <a:ln>
              <a:noFill/>
            </a:ln>
            <a:effectLst/>
          </c:spPr>
          <c:invertIfNegative val="0"/>
          <c:dLbls>
            <c:numFmt formatCode="0.0\ &quot;kW&quot;"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'String Design'!$BN$38:$BO$38</c:f>
              <c:strCache>
                <c:ptCount val="2"/>
                <c:pt idx="0">
                  <c:v>Net</c:v>
                </c:pt>
                <c:pt idx="1">
                  <c:v>Backup</c:v>
                </c:pt>
              </c:strCache>
            </c:strRef>
          </c:cat>
          <c:val>
            <c:numRef>
              <c:f>'String Design'!$BN$40:$BO$40</c:f>
              <c:numCache>
                <c:formatCode>0.0\ "kW"</c:formatCode>
                <c:ptCount val="2"/>
                <c:pt idx="0">
                  <c:v>5</c:v>
                </c:pt>
                <c:pt idx="1">
                  <c:v>5</c:v>
                </c:pt>
              </c:numCache>
            </c:numRef>
          </c:val>
          <c:extLst>
            <c:ext xmlns:c16="http://schemas.microsoft.com/office/drawing/2014/chart" uri="{C3380CC4-5D6E-409C-BE32-E72D297353CC}">
              <c16:uniqueId val="{00000001-C1AC-48C4-AA81-B4DC7565C4B7}"/>
            </c:ext>
          </c:extLst>
        </c:ser>
        <c:ser>
          <c:idx val="2"/>
          <c:order val="2"/>
          <c:tx>
            <c:strRef>
              <c:f>'String Design'!$BP$41</c:f>
              <c:strCache>
                <c:ptCount val="1"/>
                <c:pt idx="0">
                  <c:v>Ontladen (10s)</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D3C-43B6-9433-36F60C28E2A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'String Design'!$BN$38:$BO$38</c:f>
              <c:strCache>
                <c:ptCount val="2"/>
                <c:pt idx="0">
                  <c:v>Net</c:v>
                </c:pt>
                <c:pt idx="1">
                  <c:v>Backup</c:v>
                </c:pt>
              </c:strCache>
            </c:strRef>
          </c:cat>
          <c:val>
            <c:numRef>
              <c:f>'String Design'!$BN$41:$BO$41</c:f>
              <c:numCache>
                <c:formatCode>0.0\ "kW"</c:formatCode>
                <c:ptCount val="2"/>
                <c:pt idx="0">
                  <c:v>0</c:v>
                </c:pt>
                <c:pt idx="1">
                  <c:v>5</c:v>
                </c:pt>
              </c:numCache>
            </c:numRef>
          </c:val>
          <c:extLst>
            <c:ext xmlns:c16="http://schemas.microsoft.com/office/drawing/2014/chart" uri="{C3380CC4-5D6E-409C-BE32-E72D297353CC}">
              <c16:uniqueId val="{00000000-9D3C-43B6-9433-36F60C28E2A3}"/>
            </c:ext>
          </c:extLst>
        </c:ser>
        <c:dLbls>
          <c:showLegendKey val="0"/>
          <c:showVal val="0"/>
          <c:showCatName val="0"/>
          <c:showSerName val="0"/>
          <c:showPercent val="0"/>
          <c:showBubbleSize val="0"/>
        </c:dLbls>
        <c:gapWidth val="125"/>
        <c:overlap val="-27"/>
        <c:axId val="168045184"/>
        <c:axId val="168071552"/>
      </c:barChart>
      <c:catAx>
        <c:axId val="16804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l-BE"/>
          </a:p>
        </c:txPr>
        <c:crossAx val="168071552"/>
        <c:crosses val="autoZero"/>
        <c:auto val="1"/>
        <c:lblAlgn val="ctr"/>
        <c:lblOffset val="100"/>
        <c:noMultiLvlLbl val="0"/>
      </c:catAx>
      <c:valAx>
        <c:axId val="168071552"/>
        <c:scaling>
          <c:orientation val="minMax"/>
        </c:scaling>
        <c:delete val="1"/>
        <c:axPos val="l"/>
        <c:numFmt formatCode="0.0\ &quot;kW&quot;" sourceLinked="1"/>
        <c:majorTickMark val="none"/>
        <c:minorTickMark val="none"/>
        <c:tickLblPos val="none"/>
        <c:crossAx val="168045184"/>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l-BE"/>
          </a:p>
        </c:txPr>
      </c:legendEntry>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nl-BE"/>
    </a:p>
  </c:txPr>
  <c:printSettings>
    <c:headerFooter/>
    <c:pageMargins b="0.78740157499999996" l="0.70000000000000062" r="0.70000000000000062" t="0.78740157499999996"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63</xdr:col>
      <xdr:colOff>206951</xdr:colOff>
      <xdr:row>37</xdr:row>
      <xdr:rowOff>27215</xdr:rowOff>
    </xdr:from>
    <xdr:to>
      <xdr:col>81</xdr:col>
      <xdr:colOff>9894</xdr:colOff>
      <xdr:row>56</xdr:row>
      <xdr:rowOff>3711</xdr:rowOff>
    </xdr:to>
    <xdr:graphicFrame macro="">
      <xdr:nvGraphicFramePr>
        <xdr:cNvPr id="8" name="Diagramm 7">
          <a:extLst>
            <a:ext uri="{FF2B5EF4-FFF2-40B4-BE49-F238E27FC236}">
              <a16:creationId xmlns:a16="http://schemas.microsoft.com/office/drawing/2014/main" id="{11CD6B8C-6CD4-4A98-B8F7-D1467A915F38}"/>
            </a:ext>
            <a:ext uri="{147F2762-F138-4A5C-976F-8EAC2B608ADB}">
              <a16:predDERef xmlns:a16="http://schemas.microsoft.com/office/drawing/2014/main" pred="{17387D24-2964-4DCC-AE93-F54E47BC97D5}"/>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228599</xdr:colOff>
      <xdr:row>0</xdr:row>
      <xdr:rowOff>292100</xdr:rowOff>
    </xdr:from>
    <xdr:to>
      <xdr:col>22</xdr:col>
      <xdr:colOff>73025</xdr:colOff>
      <xdr:row>3</xdr:row>
      <xdr:rowOff>17572</xdr:rowOff>
    </xdr:to>
    <xdr:pic>
      <xdr:nvPicPr>
        <xdr:cNvPr id="2" name="Afbeelding 1">
          <a:extLst>
            <a:ext uri="{FF2B5EF4-FFF2-40B4-BE49-F238E27FC236}">
              <a16:creationId xmlns:a16="http://schemas.microsoft.com/office/drawing/2014/main" id="{82A3E50B-4DEB-4BD2-EFFB-79CF431D1BF3}"/>
            </a:ext>
          </a:extLst>
        </xdr:cNvPr>
        <xdr:cNvPicPr>
          <a:picLocks noChangeAspect="1"/>
        </xdr:cNvPicPr>
      </xdr:nvPicPr>
      <xdr:blipFill rotWithShape="1">
        <a:blip xmlns:r="http://schemas.openxmlformats.org/officeDocument/2006/relationships" r:embed="rId2"/>
        <a:srcRect l="5578" t="28369" r="7171" b="26951"/>
        <a:stretch/>
      </xdr:blipFill>
      <xdr:spPr>
        <a:xfrm>
          <a:off x="469899" y="292100"/>
          <a:ext cx="5270501" cy="151617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8">
    <pageSetUpPr fitToPage="1"/>
  </sheetPr>
  <dimension ref="A1:DD115"/>
  <sheetViews>
    <sheetView showGridLines="0" tabSelected="1" zoomScaleNormal="100" zoomScaleSheetLayoutView="70" workbookViewId="0">
      <selection activeCell="B9" sqref="B9:N10"/>
    </sheetView>
  </sheetViews>
  <sheetFormatPr defaultColWidth="11.28515625" defaultRowHeight="14.25" x14ac:dyDescent="0.2"/>
  <cols>
    <col min="1" max="8" width="3.140625" style="1" customWidth="1"/>
    <col min="9" max="9" width="6.42578125" style="1" customWidth="1"/>
    <col min="10" max="10" width="3.140625" style="1" customWidth="1"/>
    <col min="11" max="11" width="4.7109375" style="1" customWidth="1"/>
    <col min="12" max="22" width="3.140625" style="1" customWidth="1"/>
    <col min="23" max="27" width="4.28515625" style="1" customWidth="1"/>
    <col min="28" max="65" width="3.140625" style="1" customWidth="1"/>
    <col min="66" max="69" width="4.28515625" style="1" customWidth="1"/>
    <col min="70" max="70" width="3.85546875" style="1" customWidth="1"/>
    <col min="71" max="73" width="3.140625" style="1" customWidth="1"/>
    <col min="74" max="79" width="4.28515625" style="1" customWidth="1"/>
    <col min="80" max="82" width="3.140625" style="1" customWidth="1"/>
    <col min="83" max="83" width="3.140625" style="1" hidden="1" customWidth="1"/>
    <col min="84" max="84" width="32.85546875" style="1" hidden="1" customWidth="1"/>
    <col min="85" max="85" width="20.7109375" style="1" hidden="1" customWidth="1"/>
    <col min="86" max="91" width="15.42578125" style="1" hidden="1" customWidth="1"/>
    <col min="92" max="92" width="18" style="1" hidden="1" customWidth="1"/>
    <col min="93" max="97" width="15.42578125" style="1" hidden="1" customWidth="1"/>
    <col min="98" max="98" width="18.42578125" style="1" hidden="1" customWidth="1"/>
    <col min="99" max="99" width="17.28515625" style="1" hidden="1" customWidth="1"/>
    <col min="100" max="100" width="20" style="1" hidden="1" customWidth="1"/>
    <col min="101" max="101" width="15.42578125" style="1" hidden="1" customWidth="1"/>
    <col min="102" max="102" width="12.42578125" style="1" hidden="1" customWidth="1"/>
    <col min="103" max="103" width="3" style="1" customWidth="1"/>
    <col min="104" max="104" width="3.7109375" style="1" customWidth="1"/>
    <col min="105" max="107" width="15.42578125" style="1" customWidth="1"/>
    <col min="108" max="108" width="11.28515625" style="1" customWidth="1"/>
    <col min="109" max="16384" width="11.28515625" style="1"/>
  </cols>
  <sheetData>
    <row r="1" spans="1:108" ht="111" customHeight="1" x14ac:dyDescent="0.2">
      <c r="A1" s="186"/>
      <c r="B1" s="186"/>
      <c r="C1" s="186"/>
      <c r="D1" s="186"/>
      <c r="E1" s="186"/>
      <c r="F1" s="186"/>
      <c r="G1" s="186"/>
      <c r="H1" s="186"/>
      <c r="I1" s="186"/>
      <c r="J1" s="186"/>
      <c r="K1" s="186"/>
      <c r="L1" s="186"/>
      <c r="M1" s="186"/>
      <c r="N1" s="186"/>
      <c r="O1" s="186"/>
      <c r="P1" s="186"/>
      <c r="Q1" s="186"/>
      <c r="R1" s="186"/>
      <c r="S1" s="186"/>
      <c r="T1" s="186"/>
      <c r="U1" s="186"/>
      <c r="V1" s="186"/>
      <c r="W1" s="186"/>
      <c r="X1" s="186"/>
      <c r="Y1" s="251" t="s">
        <v>0</v>
      </c>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186"/>
      <c r="BV1" s="186"/>
      <c r="BW1" s="186"/>
      <c r="BX1" s="186"/>
      <c r="BY1" s="186"/>
      <c r="BZ1" s="186"/>
      <c r="CA1" s="186"/>
      <c r="CB1" s="186"/>
      <c r="CC1" s="186"/>
      <c r="CD1" s="186"/>
      <c r="CE1" s="186"/>
    </row>
    <row r="2" spans="1:108" ht="15" customHeight="1" x14ac:dyDescent="0.2">
      <c r="A2" s="186"/>
      <c r="B2" s="186"/>
      <c r="C2" s="186"/>
      <c r="D2" s="186"/>
      <c r="E2" s="186"/>
      <c r="F2" s="186"/>
      <c r="G2" s="186"/>
      <c r="H2" s="186"/>
      <c r="I2" s="186"/>
      <c r="J2" s="186"/>
      <c r="K2" s="186"/>
      <c r="L2" s="186"/>
      <c r="M2" s="186"/>
      <c r="N2" s="186"/>
      <c r="O2" s="186"/>
      <c r="P2" s="186"/>
      <c r="Q2" s="186"/>
      <c r="R2" s="186"/>
      <c r="S2" s="186"/>
      <c r="T2" s="186"/>
      <c r="U2" s="186"/>
      <c r="V2" s="186"/>
      <c r="W2" s="186"/>
      <c r="X2" s="186"/>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186"/>
      <c r="BV2" s="186"/>
      <c r="BW2" s="186"/>
      <c r="BX2" s="186"/>
      <c r="BY2" s="186"/>
      <c r="BZ2" s="186"/>
      <c r="CA2" s="186"/>
      <c r="CB2" s="186"/>
      <c r="CC2" s="186"/>
      <c r="CD2" s="186"/>
      <c r="CE2" s="186"/>
      <c r="CF2" s="308"/>
      <c r="CG2" s="308"/>
      <c r="CH2" s="308"/>
      <c r="CI2" s="308"/>
    </row>
    <row r="3" spans="1:108" ht="15" customHeight="1" x14ac:dyDescent="0.2">
      <c r="A3" s="186"/>
      <c r="B3" s="196"/>
      <c r="C3" s="196"/>
      <c r="D3" s="196"/>
      <c r="E3" s="196"/>
      <c r="F3" s="196"/>
      <c r="G3" s="196"/>
      <c r="H3" s="196"/>
      <c r="I3" s="196"/>
      <c r="J3" s="196"/>
      <c r="K3" s="196"/>
      <c r="L3" s="196"/>
      <c r="M3" s="196"/>
      <c r="N3" s="196"/>
      <c r="O3" s="196"/>
      <c r="P3" s="196"/>
      <c r="Q3" s="196"/>
      <c r="R3" s="196"/>
      <c r="S3" s="196"/>
      <c r="T3" s="196"/>
      <c r="U3" s="196"/>
      <c r="V3" s="196"/>
      <c r="W3" s="196"/>
      <c r="X3" s="196"/>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309"/>
      <c r="BV3" s="309"/>
      <c r="BW3" s="309"/>
      <c r="BX3" s="309"/>
      <c r="BY3" s="309"/>
      <c r="BZ3" s="309"/>
      <c r="CA3" s="309"/>
      <c r="CB3" s="309"/>
      <c r="CC3" s="309"/>
      <c r="CD3" s="188"/>
      <c r="CE3" s="186"/>
    </row>
    <row r="4" spans="1:108" ht="15" customHeight="1" x14ac:dyDescent="0.2">
      <c r="A4" s="187"/>
      <c r="B4" s="196"/>
      <c r="C4" s="196"/>
      <c r="D4" s="196"/>
      <c r="E4" s="196"/>
      <c r="F4" s="196"/>
      <c r="G4" s="196"/>
      <c r="H4" s="196"/>
      <c r="I4" s="196"/>
      <c r="J4" s="196"/>
      <c r="K4" s="196"/>
      <c r="L4" s="196"/>
      <c r="M4" s="196"/>
      <c r="N4" s="196"/>
      <c r="O4" s="196"/>
      <c r="P4" s="196"/>
      <c r="Q4" s="196"/>
      <c r="R4" s="196"/>
      <c r="S4" s="196"/>
      <c r="T4" s="196"/>
      <c r="U4" s="196"/>
      <c r="V4" s="196"/>
      <c r="W4" s="196"/>
      <c r="X4" s="196"/>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309"/>
      <c r="BV4" s="309"/>
      <c r="BW4" s="309"/>
      <c r="BX4" s="309"/>
      <c r="BY4" s="309"/>
      <c r="BZ4" s="309"/>
      <c r="CA4" s="309"/>
      <c r="CB4" s="309"/>
      <c r="CC4" s="309"/>
      <c r="CD4" s="188"/>
      <c r="CE4" s="186"/>
    </row>
    <row r="5" spans="1:108" ht="15" customHeight="1" x14ac:dyDescent="0.2">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row>
    <row r="6" spans="1:108" ht="15" customHeight="1" x14ac:dyDescent="0.2">
      <c r="AD6" s="3"/>
    </row>
    <row r="7" spans="1:108" ht="15" customHeight="1" x14ac:dyDescent="0.2">
      <c r="A7" s="298" t="s">
        <v>1</v>
      </c>
      <c r="B7" s="299"/>
      <c r="C7" s="299"/>
      <c r="D7" s="299"/>
      <c r="E7" s="299"/>
      <c r="F7" s="299"/>
      <c r="G7" s="299"/>
      <c r="H7" s="299"/>
      <c r="I7" s="299"/>
      <c r="J7" s="299"/>
      <c r="K7" s="299"/>
      <c r="L7" s="299"/>
      <c r="M7" s="299"/>
      <c r="N7" s="299"/>
      <c r="O7" s="300"/>
      <c r="Q7" s="284" t="s">
        <v>2</v>
      </c>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6"/>
    </row>
    <row r="8" spans="1:108" ht="15" customHeight="1" x14ac:dyDescent="0.2">
      <c r="A8" s="301"/>
      <c r="B8" s="302"/>
      <c r="C8" s="302"/>
      <c r="D8" s="302"/>
      <c r="E8" s="302"/>
      <c r="F8" s="302"/>
      <c r="G8" s="302"/>
      <c r="H8" s="302"/>
      <c r="I8" s="302"/>
      <c r="J8" s="302"/>
      <c r="K8" s="302"/>
      <c r="L8" s="302"/>
      <c r="M8" s="302"/>
      <c r="N8" s="302"/>
      <c r="O8" s="303"/>
      <c r="Q8" s="310"/>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2"/>
      <c r="CG8" s="1" t="s">
        <v>3</v>
      </c>
    </row>
    <row r="9" spans="1:108" ht="15" customHeight="1" x14ac:dyDescent="0.2">
      <c r="A9" s="4"/>
      <c r="B9" s="321"/>
      <c r="C9" s="321"/>
      <c r="D9" s="321"/>
      <c r="E9" s="321"/>
      <c r="F9" s="321"/>
      <c r="G9" s="321"/>
      <c r="H9" s="321"/>
      <c r="I9" s="321"/>
      <c r="J9" s="321"/>
      <c r="K9" s="321"/>
      <c r="L9" s="321"/>
      <c r="M9" s="321"/>
      <c r="N9" s="321"/>
      <c r="O9" s="5"/>
      <c r="Q9" s="4"/>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5"/>
      <c r="CF9" s="80" t="s">
        <v>4</v>
      </c>
      <c r="CG9" s="80"/>
      <c r="CH9" s="80"/>
      <c r="CI9" s="80">
        <v>-20</v>
      </c>
      <c r="CJ9" s="80">
        <v>-15</v>
      </c>
      <c r="CK9" s="80">
        <v>-10</v>
      </c>
      <c r="CL9" s="80">
        <v>-5</v>
      </c>
      <c r="CM9" s="80">
        <v>0</v>
      </c>
      <c r="CN9" s="80">
        <v>5</v>
      </c>
      <c r="CO9" s="80">
        <v>10</v>
      </c>
      <c r="CP9" s="80">
        <v>15</v>
      </c>
      <c r="CQ9" s="80">
        <v>20</v>
      </c>
      <c r="CR9" s="80">
        <v>25</v>
      </c>
      <c r="CS9" s="80">
        <v>30</v>
      </c>
      <c r="CT9" s="80">
        <v>35</v>
      </c>
      <c r="CU9" s="80">
        <v>40</v>
      </c>
      <c r="CV9" s="80">
        <v>45</v>
      </c>
      <c r="CW9" s="80">
        <v>50</v>
      </c>
      <c r="CX9" s="41"/>
    </row>
    <row r="10" spans="1:108" ht="15" customHeight="1" x14ac:dyDescent="0.2">
      <c r="A10" s="4"/>
      <c r="B10" s="321"/>
      <c r="C10" s="321"/>
      <c r="D10" s="321"/>
      <c r="E10" s="321"/>
      <c r="F10" s="321"/>
      <c r="G10" s="321"/>
      <c r="H10" s="321"/>
      <c r="I10" s="321"/>
      <c r="J10" s="321"/>
      <c r="K10" s="321"/>
      <c r="L10" s="321"/>
      <c r="M10" s="321"/>
      <c r="N10" s="321"/>
      <c r="O10" s="5"/>
      <c r="Q10" s="4"/>
      <c r="R10" s="290" t="s">
        <v>5</v>
      </c>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2"/>
      <c r="AR10" s="290" t="s">
        <v>6</v>
      </c>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2"/>
      <c r="CD10" s="5"/>
      <c r="CF10" s="38" t="s">
        <v>7</v>
      </c>
      <c r="CG10" s="38"/>
      <c r="CH10" s="38"/>
      <c r="CI10" s="91">
        <f t="shared" ref="CI10:CW10" si="0">$J$40*(1+((0.01*$J$46)*(CI9-25)))</f>
        <v>45.28396</v>
      </c>
      <c r="CJ10" s="91">
        <f t="shared" si="0"/>
        <v>44.793520000000001</v>
      </c>
      <c r="CK10" s="91">
        <f t="shared" si="0"/>
        <v>44.303080000000001</v>
      </c>
      <c r="CL10" s="91">
        <f t="shared" si="0"/>
        <v>43.812640000000002</v>
      </c>
      <c r="CM10" s="91">
        <f t="shared" si="0"/>
        <v>43.322200000000002</v>
      </c>
      <c r="CN10" s="91">
        <f t="shared" si="0"/>
        <v>42.831759999999996</v>
      </c>
      <c r="CO10" s="91">
        <f t="shared" si="0"/>
        <v>42.341319999999996</v>
      </c>
      <c r="CP10" s="91">
        <f t="shared" si="0"/>
        <v>41.850879999999997</v>
      </c>
      <c r="CQ10" s="91">
        <f t="shared" si="0"/>
        <v>41.360439999999997</v>
      </c>
      <c r="CR10" s="91">
        <f t="shared" si="0"/>
        <v>40.869999999999997</v>
      </c>
      <c r="CS10" s="91">
        <f t="shared" si="0"/>
        <v>40.379559999999998</v>
      </c>
      <c r="CT10" s="91">
        <f t="shared" si="0"/>
        <v>39.889119999999998</v>
      </c>
      <c r="CU10" s="91">
        <f t="shared" si="0"/>
        <v>39.398679999999999</v>
      </c>
      <c r="CV10" s="91">
        <f t="shared" si="0"/>
        <v>38.908239999999999</v>
      </c>
      <c r="CW10" s="91">
        <f t="shared" si="0"/>
        <v>38.417799999999993</v>
      </c>
      <c r="CX10" s="41"/>
    </row>
    <row r="11" spans="1:108" ht="15" customHeight="1" x14ac:dyDescent="0.2">
      <c r="A11" s="4"/>
      <c r="B11" s="39" t="s">
        <v>8</v>
      </c>
      <c r="C11" s="39"/>
      <c r="D11" s="39"/>
      <c r="E11" s="39"/>
      <c r="F11" s="39"/>
      <c r="G11" s="39"/>
      <c r="H11" s="214" t="s">
        <v>9</v>
      </c>
      <c r="I11" s="345"/>
      <c r="J11" s="345"/>
      <c r="K11" s="345"/>
      <c r="L11" s="345"/>
      <c r="M11" s="345"/>
      <c r="N11" s="215"/>
      <c r="O11" s="5"/>
      <c r="Q11" s="4"/>
      <c r="R11" s="323" t="str">
        <f>IF(IF(AND(CB18="Ja",K21&gt;0),BM21,0)+IF(AND(CB26="Ja",K21&gt;1),BM29,0)&gt;$K$21,"Het opslagsysteem heeft standaard onvoldoende DC-ingangen."&amp;CHAR(10)&amp;"Wijzig uw module-interconnectie dienovereenkomstig!"&amp;CHAR(10),"")&amp;IF(H11="Storion OF5","Dit opslagsysteem is alleen geschikt voor off-grid gebruik!"&amp;CHAR(10),"")&amp;IF($CL$16&lt;$CL$15,IF($CL$16=0,"","De batterijspanning is te laag, u moet meer batterijmodules gebruiken!"&amp;CHAR(10)),"")&amp;IF($F$12&gt;$CL$17,"Het maximale aantal batterij modules wat u kan installeren is "&amp;CL17&amp;". Verminder het aantal modules!"&amp;CHAR(10),"")</f>
        <v/>
      </c>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5"/>
      <c r="AR11" s="28"/>
      <c r="AS11" s="3"/>
      <c r="AT11" s="3"/>
      <c r="AU11" s="3"/>
      <c r="AV11" s="3"/>
      <c r="AW11" s="3"/>
      <c r="BH11" s="3"/>
      <c r="BI11" s="3"/>
      <c r="BJ11" s="3"/>
      <c r="CC11" s="8"/>
      <c r="CD11" s="5"/>
      <c r="CF11" s="38" t="s">
        <v>10</v>
      </c>
      <c r="CG11" s="41" t="str">
        <f>TEXT(AS21*MIN(CI11:CW11),"0")&amp;"-"&amp;TEXT(AS21*MAX(CI11:CW11),"0")</f>
        <v>325-383</v>
      </c>
      <c r="CH11" s="38"/>
      <c r="CI11" s="91">
        <f t="shared" ref="CI11:CW11" si="1">$J$38*(1+((0.01*$J$46)*(CI9-25)))</f>
        <v>38.336800000000004</v>
      </c>
      <c r="CJ11" s="91">
        <f t="shared" si="1"/>
        <v>37.921600000000005</v>
      </c>
      <c r="CK11" s="91">
        <f t="shared" si="1"/>
        <v>37.506400000000006</v>
      </c>
      <c r="CL11" s="91">
        <f t="shared" si="1"/>
        <v>37.091200000000001</v>
      </c>
      <c r="CM11" s="91">
        <f t="shared" si="1"/>
        <v>36.676000000000002</v>
      </c>
      <c r="CN11" s="91">
        <f t="shared" si="1"/>
        <v>36.260800000000003</v>
      </c>
      <c r="CO11" s="91">
        <f t="shared" si="1"/>
        <v>35.845600000000005</v>
      </c>
      <c r="CP11" s="91">
        <f t="shared" si="1"/>
        <v>35.430399999999999</v>
      </c>
      <c r="CQ11" s="91">
        <f t="shared" si="1"/>
        <v>35.0152</v>
      </c>
      <c r="CR11" s="91">
        <f t="shared" si="1"/>
        <v>34.6</v>
      </c>
      <c r="CS11" s="91">
        <f t="shared" si="1"/>
        <v>34.184800000000003</v>
      </c>
      <c r="CT11" s="91">
        <f t="shared" si="1"/>
        <v>33.769600000000004</v>
      </c>
      <c r="CU11" s="91">
        <f t="shared" si="1"/>
        <v>33.354399999999998</v>
      </c>
      <c r="CV11" s="91">
        <f t="shared" si="1"/>
        <v>32.9392</v>
      </c>
      <c r="CW11" s="91">
        <f t="shared" si="1"/>
        <v>32.524000000000001</v>
      </c>
      <c r="CX11" s="41"/>
    </row>
    <row r="12" spans="1:108" ht="15" customHeight="1" x14ac:dyDescent="0.25">
      <c r="A12" s="4"/>
      <c r="B12" s="39" t="s">
        <v>11</v>
      </c>
      <c r="C12" s="3"/>
      <c r="D12" s="3"/>
      <c r="E12" s="3"/>
      <c r="F12" s="195">
        <v>2</v>
      </c>
      <c r="G12" s="155" t="s">
        <v>12</v>
      </c>
      <c r="H12" s="252" t="s">
        <v>13</v>
      </c>
      <c r="I12" s="253"/>
      <c r="J12" s="253"/>
      <c r="K12" s="253"/>
      <c r="L12" s="253"/>
      <c r="M12" s="253"/>
      <c r="N12" s="254"/>
      <c r="O12" s="5"/>
      <c r="Q12" s="4"/>
      <c r="R12" s="323"/>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5"/>
      <c r="AR12" s="7"/>
      <c r="AS12" s="329" t="s">
        <v>14</v>
      </c>
      <c r="AT12" s="329"/>
      <c r="AU12" s="329"/>
      <c r="AV12" s="329"/>
      <c r="AW12" s="329"/>
      <c r="AX12" s="329"/>
      <c r="AY12" s="329"/>
      <c r="AZ12" s="329"/>
      <c r="BC12" s="329" t="s">
        <v>15</v>
      </c>
      <c r="BD12" s="329"/>
      <c r="BE12" s="329"/>
      <c r="BF12" s="329"/>
      <c r="BG12" s="329"/>
      <c r="BH12" s="329"/>
      <c r="BI12" s="329"/>
      <c r="BJ12" s="329"/>
      <c r="BL12" s="329" t="s">
        <v>16</v>
      </c>
      <c r="BM12" s="329"/>
      <c r="BN12" s="329"/>
      <c r="BO12" s="329"/>
      <c r="BP12" s="329"/>
      <c r="BQ12" s="329"/>
      <c r="BR12" s="329" t="s">
        <v>17</v>
      </c>
      <c r="BS12" s="329"/>
      <c r="BT12" s="329"/>
      <c r="BU12" s="329"/>
      <c r="BV12" s="329"/>
      <c r="BW12" s="329"/>
      <c r="BX12" s="329"/>
      <c r="BY12" s="329"/>
      <c r="BZ12" s="329"/>
      <c r="CA12" s="329"/>
      <c r="CB12" s="329"/>
      <c r="CC12" s="29"/>
      <c r="CD12" s="5"/>
      <c r="CF12" s="38" t="s">
        <v>18</v>
      </c>
      <c r="CG12" s="38"/>
      <c r="CH12" s="38"/>
      <c r="CI12" s="91">
        <f>CI13/CI11</f>
        <v>10.022954445858808</v>
      </c>
      <c r="CJ12" s="91">
        <f t="shared" ref="CJ12:CW12" si="2">CJ13/CJ11</f>
        <v>10.014767309396227</v>
      </c>
      <c r="CK12" s="91">
        <f t="shared" si="2"/>
        <v>10.006398907919712</v>
      </c>
      <c r="CL12" s="91">
        <f t="shared" si="2"/>
        <v>9.9978431541713402</v>
      </c>
      <c r="CM12" s="91">
        <f t="shared" si="2"/>
        <v>9.9890936852437537</v>
      </c>
      <c r="CN12" s="91">
        <f t="shared" si="2"/>
        <v>9.9801438467987467</v>
      </c>
      <c r="CO12" s="91">
        <f t="shared" si="2"/>
        <v>9.9709866761889874</v>
      </c>
      <c r="CP12" s="91">
        <f t="shared" si="2"/>
        <v>9.9616148843930645</v>
      </c>
      <c r="CQ12" s="91">
        <f t="shared" si="2"/>
        <v>9.9520208366652199</v>
      </c>
      <c r="CR12" s="91">
        <f t="shared" si="2"/>
        <v>9.9421965317919074</v>
      </c>
      <c r="CS12" s="91">
        <f t="shared" si="2"/>
        <v>9.9321335798366519</v>
      </c>
      <c r="CT12" s="91">
        <f t="shared" si="2"/>
        <v>9.9218231782431516</v>
      </c>
      <c r="CU12" s="91">
        <f t="shared" si="2"/>
        <v>9.9112560861535517</v>
      </c>
      <c r="CV12" s="91">
        <f t="shared" si="2"/>
        <v>9.9004225967843773</v>
      </c>
      <c r="CW12" s="91">
        <f t="shared" si="2"/>
        <v>9.8893125076866326</v>
      </c>
      <c r="CX12" s="41"/>
    </row>
    <row r="13" spans="1:108" ht="15" customHeight="1" x14ac:dyDescent="0.2">
      <c r="A13" s="4"/>
      <c r="O13" s="5"/>
      <c r="Q13" s="4"/>
      <c r="R13" s="323"/>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5"/>
      <c r="AR13" s="7"/>
      <c r="AT13" s="336">
        <v>0</v>
      </c>
      <c r="AU13" s="337"/>
      <c r="AV13" s="337"/>
      <c r="AW13" s="337"/>
      <c r="AX13" s="337"/>
      <c r="AY13" s="338"/>
      <c r="BD13" s="330">
        <f>IF(OR(H11="Storion T30",H11="SMILE B3"),AT13,IF(CB18="Ja",BW21)+IF(AND(K21&gt;1,CB26="Ja"),BW29)+IF(H11="Storion OF5",0,AT13))</f>
        <v>20</v>
      </c>
      <c r="BE13" s="330"/>
      <c r="BF13" s="330"/>
      <c r="BG13" s="330"/>
      <c r="BH13" s="330"/>
      <c r="BI13" s="330"/>
      <c r="BL13" s="330" t="str">
        <f>IF(AND(CB18="Ja",K21&gt;0),BM21,0)+IF(AND(CB26="Ja",K21&gt;1),BM29,0)&amp;"/"&amp;K21</f>
        <v>2/2</v>
      </c>
      <c r="BM13" s="330"/>
      <c r="BN13" s="330"/>
      <c r="BO13" s="330"/>
      <c r="BP13" s="330"/>
      <c r="BQ13" s="330"/>
      <c r="BR13" s="322">
        <f>(IF(H11="Storion OF5",0,$AT$13*$J$36)+IF(OR($K$21&lt;2,$CB$26="Neen"),IF(AND($CB$18="Ja",$K$21&gt;0),$AA$20,0),IF($CB$18="Ja",$AA$20,0)+$AA$28))/1000</f>
        <v>8.6</v>
      </c>
      <c r="BS13" s="322"/>
      <c r="BT13" s="322"/>
      <c r="BU13" s="322"/>
      <c r="BV13" s="322"/>
      <c r="BW13" s="322"/>
      <c r="BX13" s="322"/>
      <c r="BY13" s="322"/>
      <c r="BZ13" s="322"/>
      <c r="CA13" s="322"/>
      <c r="CB13" s="322"/>
      <c r="CC13" s="8"/>
      <c r="CD13" s="5"/>
      <c r="CF13" s="38" t="s">
        <v>19</v>
      </c>
      <c r="CG13" s="38"/>
      <c r="CH13" s="38"/>
      <c r="CI13" s="91">
        <f>$J$36*0.8*(1+((0.01*$J$45)*(CI9-25)))</f>
        <v>384.24799999999999</v>
      </c>
      <c r="CJ13" s="91">
        <f t="shared" ref="CJ13:CW13" si="3">$J$36*0.8*(1+((0.01*$J$45)*(CJ9-25)))</f>
        <v>379.77600000000001</v>
      </c>
      <c r="CK13" s="91">
        <f t="shared" si="3"/>
        <v>375.30399999999997</v>
      </c>
      <c r="CL13" s="91">
        <f t="shared" si="3"/>
        <v>370.83200000000005</v>
      </c>
      <c r="CM13" s="91">
        <f t="shared" si="3"/>
        <v>366.35999999999996</v>
      </c>
      <c r="CN13" s="91">
        <f t="shared" si="3"/>
        <v>361.88800000000003</v>
      </c>
      <c r="CO13" s="91">
        <f t="shared" si="3"/>
        <v>357.416</v>
      </c>
      <c r="CP13" s="91">
        <f t="shared" si="3"/>
        <v>352.94400000000002</v>
      </c>
      <c r="CQ13" s="91">
        <f t="shared" si="3"/>
        <v>348.47199999999998</v>
      </c>
      <c r="CR13" s="91">
        <f t="shared" si="3"/>
        <v>344</v>
      </c>
      <c r="CS13" s="91">
        <f t="shared" si="3"/>
        <v>339.52800000000002</v>
      </c>
      <c r="CT13" s="91">
        <f t="shared" si="3"/>
        <v>335.05599999999998</v>
      </c>
      <c r="CU13" s="91">
        <f t="shared" si="3"/>
        <v>330.584</v>
      </c>
      <c r="CV13" s="91">
        <f t="shared" si="3"/>
        <v>326.11199999999997</v>
      </c>
      <c r="CW13" s="91">
        <f t="shared" si="3"/>
        <v>321.64000000000004</v>
      </c>
      <c r="CX13" s="41"/>
    </row>
    <row r="14" spans="1:108" ht="15" customHeight="1" x14ac:dyDescent="0.6">
      <c r="A14" s="10"/>
      <c r="B14" s="39" t="s">
        <v>20</v>
      </c>
      <c r="C14" s="40"/>
      <c r="D14" s="40"/>
      <c r="E14" s="40"/>
      <c r="F14" s="40"/>
      <c r="G14" s="40"/>
      <c r="H14" s="40"/>
      <c r="I14" s="40"/>
      <c r="J14" s="40"/>
      <c r="K14" s="331">
        <f>IFERROR(VLOOKUP(H12,CG75:CM104,7,FALSE),"")*IF($H$11="SMILE-i3",$F$12+1,$F$12)</f>
        <v>19.189999999999998</v>
      </c>
      <c r="L14" s="331"/>
      <c r="M14" s="40"/>
      <c r="N14" s="90" t="s">
        <v>21</v>
      </c>
      <c r="O14" s="5"/>
      <c r="Q14" s="4"/>
      <c r="R14" s="323"/>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5"/>
      <c r="AR14" s="7"/>
      <c r="AT14" s="339"/>
      <c r="AU14" s="340"/>
      <c r="AV14" s="340"/>
      <c r="AW14" s="340"/>
      <c r="AX14" s="340"/>
      <c r="AY14" s="341"/>
      <c r="BD14" s="330"/>
      <c r="BE14" s="330"/>
      <c r="BF14" s="330"/>
      <c r="BG14" s="330"/>
      <c r="BH14" s="330"/>
      <c r="BI14" s="330"/>
      <c r="BL14" s="330"/>
      <c r="BM14" s="330"/>
      <c r="BN14" s="330"/>
      <c r="BO14" s="330"/>
      <c r="BP14" s="330"/>
      <c r="BQ14" s="330"/>
      <c r="BR14" s="322"/>
      <c r="BS14" s="322"/>
      <c r="BT14" s="322"/>
      <c r="BU14" s="322"/>
      <c r="BV14" s="322"/>
      <c r="BW14" s="322"/>
      <c r="BX14" s="322"/>
      <c r="BY14" s="322"/>
      <c r="BZ14" s="322"/>
      <c r="CA14" s="322"/>
      <c r="CB14" s="322"/>
      <c r="CC14" s="31"/>
      <c r="CD14" s="5"/>
      <c r="CF14" s="41"/>
      <c r="CG14" s="41"/>
      <c r="CH14" s="41"/>
      <c r="CI14" s="41"/>
      <c r="CJ14" s="41"/>
      <c r="CK14" s="41"/>
      <c r="CL14" s="41"/>
      <c r="CM14" s="41"/>
      <c r="CN14" s="41"/>
      <c r="CO14" s="41"/>
      <c r="CP14" s="41"/>
      <c r="CQ14" s="41"/>
      <c r="CR14" s="149"/>
      <c r="CS14" s="149"/>
      <c r="CT14" s="148"/>
      <c r="CU14" s="41"/>
      <c r="CV14" s="41"/>
      <c r="CW14" s="41"/>
      <c r="CX14" s="41"/>
      <c r="CZ14" s="41"/>
    </row>
    <row r="15" spans="1:108" ht="15" customHeight="1" x14ac:dyDescent="0.6">
      <c r="A15" s="10"/>
      <c r="O15" s="5"/>
      <c r="Q15" s="4"/>
      <c r="R15" s="323"/>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5"/>
      <c r="AR15" s="7"/>
      <c r="AT15" s="342"/>
      <c r="AU15" s="343"/>
      <c r="AV15" s="343"/>
      <c r="AW15" s="343"/>
      <c r="AX15" s="343"/>
      <c r="AY15" s="344"/>
      <c r="BD15" s="330"/>
      <c r="BE15" s="330"/>
      <c r="BF15" s="330"/>
      <c r="BG15" s="330"/>
      <c r="BH15" s="330"/>
      <c r="BI15" s="330"/>
      <c r="BL15" s="330"/>
      <c r="BM15" s="330"/>
      <c r="BN15" s="330"/>
      <c r="BO15" s="330"/>
      <c r="BP15" s="330"/>
      <c r="BQ15" s="330"/>
      <c r="BR15" s="322"/>
      <c r="BS15" s="322"/>
      <c r="BT15" s="322"/>
      <c r="BU15" s="322"/>
      <c r="BV15" s="322"/>
      <c r="BW15" s="322"/>
      <c r="BX15" s="322"/>
      <c r="BY15" s="322"/>
      <c r="BZ15" s="322"/>
      <c r="CA15" s="322"/>
      <c r="CB15" s="322"/>
      <c r="CC15" s="31"/>
      <c r="CD15" s="5"/>
      <c r="CF15" s="81" t="s">
        <v>22</v>
      </c>
      <c r="CG15" s="41"/>
      <c r="CH15" s="41"/>
      <c r="CI15" s="81">
        <f>VLOOKUP($H$11,$CF$21:$CT$33,8,FALSE)</f>
        <v>550</v>
      </c>
      <c r="CJ15" s="81" t="s">
        <v>23</v>
      </c>
      <c r="CK15" s="81" t="s">
        <v>24</v>
      </c>
      <c r="CL15" s="81">
        <f>VLOOKUP($H$11,$CF$21:$CW$33,18,FALSE)</f>
        <v>90</v>
      </c>
      <c r="CM15" s="81" t="s">
        <v>23</v>
      </c>
      <c r="CN15" s="41"/>
      <c r="CO15" s="41"/>
      <c r="CP15" s="41"/>
      <c r="CQ15" s="41"/>
      <c r="CR15" s="41"/>
      <c r="CS15" s="41"/>
      <c r="CT15" s="41"/>
      <c r="CU15" s="41"/>
      <c r="CV15" s="41"/>
      <c r="CW15" s="41"/>
      <c r="CX15" s="41"/>
      <c r="CZ15" s="41"/>
      <c r="DA15" s="41"/>
      <c r="DB15" s="41"/>
      <c r="DC15" s="41"/>
      <c r="DD15" s="41"/>
    </row>
    <row r="16" spans="1:108" ht="15" customHeight="1" x14ac:dyDescent="0.6">
      <c r="A16" s="4"/>
      <c r="B16" s="194" t="str">
        <f>"Technische gegevens (WR-Typ: "&amp;VLOOKUP($H$11,$CF$21:$CT$33,13,FALSE)&amp;")"</f>
        <v>Technische gegevens (WR-Typ: SMILE-G3-S5)</v>
      </c>
      <c r="O16" s="5"/>
      <c r="Q16" s="4"/>
      <c r="R16" s="326"/>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8"/>
      <c r="AR16" s="13"/>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32"/>
      <c r="CD16" s="5"/>
      <c r="CF16" s="81" t="s">
        <v>25</v>
      </c>
      <c r="CG16" s="41"/>
      <c r="CH16" s="41"/>
      <c r="CI16" s="81">
        <f>VLOOKUP($H$11,$CF$21:$CT$33,9,FALSE)</f>
        <v>100</v>
      </c>
      <c r="CJ16" s="81" t="s">
        <v>23</v>
      </c>
      <c r="CK16" s="81" t="s">
        <v>26</v>
      </c>
      <c r="CL16" s="41">
        <f>VLOOKUP($H$12,$CG$75:$CM$104,2,FALSE)*IF(H11="SMILE B3",$F$12+1,$F$12)</f>
        <v>192</v>
      </c>
      <c r="CM16" s="81" t="s">
        <v>23</v>
      </c>
      <c r="CN16" s="41"/>
      <c r="CO16" s="41"/>
      <c r="CP16" s="41"/>
      <c r="CQ16" s="41"/>
      <c r="CR16" s="41"/>
      <c r="CS16" s="41"/>
      <c r="CT16" s="41"/>
      <c r="CU16" s="41"/>
      <c r="CV16" s="41"/>
      <c r="CW16" s="41"/>
      <c r="CX16" s="41"/>
      <c r="CZ16" s="41"/>
      <c r="DA16" s="41"/>
      <c r="DB16" s="41"/>
      <c r="DC16" s="41"/>
      <c r="DD16" s="41"/>
    </row>
    <row r="17" spans="1:108" ht="15" customHeight="1" x14ac:dyDescent="0.2">
      <c r="A17" s="4"/>
      <c r="B17" s="79" t="s">
        <v>27</v>
      </c>
      <c r="C17" s="40"/>
      <c r="D17" s="40"/>
      <c r="E17" s="40"/>
      <c r="F17" s="40"/>
      <c r="G17" s="40"/>
      <c r="H17" s="40"/>
      <c r="I17" s="40"/>
      <c r="J17" s="40"/>
      <c r="K17" s="250">
        <f>VLOOKUP($H$11,$CF$21:$CT$33,2,FALSE)</f>
        <v>5000</v>
      </c>
      <c r="L17" s="250"/>
      <c r="M17" s="40"/>
      <c r="N17" s="82" t="s">
        <v>28</v>
      </c>
      <c r="O17" s="5"/>
      <c r="Q17" s="4"/>
      <c r="CD17" s="5"/>
      <c r="CF17" s="81" t="s">
        <v>29</v>
      </c>
      <c r="CG17" s="41"/>
      <c r="CH17" s="41"/>
      <c r="CI17" s="81">
        <f>VLOOKUP($H$11,$CF$21:$CT$33,5,FALSE)</f>
        <v>580</v>
      </c>
      <c r="CJ17" s="81" t="s">
        <v>23</v>
      </c>
      <c r="CK17" s="81" t="s">
        <v>30</v>
      </c>
      <c r="CL17" s="41">
        <f>VLOOKUP($H$11,$CF$21:$CV$33,12,FALSE)</f>
        <v>6</v>
      </c>
      <c r="CM17" s="41"/>
      <c r="CN17" s="41"/>
      <c r="CO17" s="41"/>
      <c r="CP17" s="41"/>
      <c r="CQ17" s="41"/>
      <c r="CR17" s="41"/>
      <c r="CS17" s="41"/>
      <c r="CT17" s="41"/>
      <c r="CU17" s="41"/>
      <c r="CV17" s="41"/>
      <c r="CW17" s="41"/>
      <c r="CX17" s="41"/>
      <c r="CZ17" s="41"/>
      <c r="DA17" s="41"/>
      <c r="DB17" s="41"/>
      <c r="DC17" s="41"/>
      <c r="DD17" s="41"/>
    </row>
    <row r="18" spans="1:108" ht="15" customHeight="1" x14ac:dyDescent="0.25">
      <c r="A18" s="4"/>
      <c r="B18" s="79" t="s">
        <v>31</v>
      </c>
      <c r="C18" s="40"/>
      <c r="D18" s="40"/>
      <c r="E18" s="40"/>
      <c r="F18" s="40"/>
      <c r="G18" s="40"/>
      <c r="H18" s="40"/>
      <c r="I18" s="40"/>
      <c r="J18" s="40"/>
      <c r="K18" s="250">
        <f>VLOOKUP($H$11,$CF$21:$CT$33,3,FALSE)</f>
        <v>10000</v>
      </c>
      <c r="L18" s="250"/>
      <c r="M18" s="40"/>
      <c r="N18" s="82" t="s">
        <v>28</v>
      </c>
      <c r="O18" s="5"/>
      <c r="Q18" s="4"/>
      <c r="R18" s="290" t="s">
        <v>6</v>
      </c>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2"/>
      <c r="AR18" s="333" t="s">
        <v>32</v>
      </c>
      <c r="AS18" s="334"/>
      <c r="AT18" s="334"/>
      <c r="AU18" s="334"/>
      <c r="AV18" s="334"/>
      <c r="AW18" s="334"/>
      <c r="AX18" s="334"/>
      <c r="AY18" s="334"/>
      <c r="AZ18" s="334"/>
      <c r="BA18" s="334"/>
      <c r="BB18" s="334"/>
      <c r="BC18" s="334"/>
      <c r="BD18" s="334"/>
      <c r="BE18" s="334"/>
      <c r="BF18" s="334"/>
      <c r="BG18" s="334"/>
      <c r="BH18" s="334"/>
      <c r="BI18" s="334"/>
      <c r="BJ18" s="334"/>
      <c r="BK18" s="334"/>
      <c r="BL18" s="334"/>
      <c r="BM18" s="6"/>
      <c r="BN18" s="6"/>
      <c r="BO18" s="6"/>
      <c r="BP18" s="6"/>
      <c r="BQ18" s="6"/>
      <c r="BR18" s="6"/>
      <c r="BS18" s="6"/>
      <c r="BT18" s="6"/>
      <c r="BU18" s="6"/>
      <c r="BV18" s="6"/>
      <c r="BW18" s="6"/>
      <c r="BX18" s="189" t="s">
        <v>33</v>
      </c>
      <c r="BY18" s="6"/>
      <c r="BZ18" s="6"/>
      <c r="CA18" s="6"/>
      <c r="CB18" s="319" t="s">
        <v>34</v>
      </c>
      <c r="CC18" s="320"/>
      <c r="CD18" s="5"/>
      <c r="CF18" s="41"/>
      <c r="CG18" s="41"/>
      <c r="CH18" s="41"/>
      <c r="CI18" s="41"/>
      <c r="CJ18" s="41"/>
      <c r="CK18" s="41"/>
      <c r="CL18" s="41"/>
      <c r="CM18" s="41"/>
      <c r="CN18" s="41"/>
      <c r="CO18" s="41"/>
      <c r="CP18" s="41"/>
      <c r="CQ18" s="41"/>
      <c r="CR18" s="41"/>
      <c r="CS18" s="41"/>
      <c r="CT18" s="41"/>
      <c r="CU18" s="41"/>
      <c r="CV18" s="41"/>
      <c r="CW18" s="41"/>
      <c r="CX18" s="41"/>
      <c r="CZ18" s="41"/>
      <c r="DA18" s="41"/>
      <c r="DB18" s="41"/>
      <c r="DC18" s="41"/>
      <c r="DD18" s="41"/>
    </row>
    <row r="19" spans="1:108" ht="15" customHeight="1" x14ac:dyDescent="0.2">
      <c r="A19" s="4"/>
      <c r="B19" s="79" t="s">
        <v>35</v>
      </c>
      <c r="C19" s="40"/>
      <c r="D19" s="40"/>
      <c r="E19" s="40"/>
      <c r="F19" s="40"/>
      <c r="G19" s="40"/>
      <c r="H19" s="40"/>
      <c r="I19" s="40"/>
      <c r="J19" s="250">
        <f>CI17</f>
        <v>580</v>
      </c>
      <c r="K19" s="250"/>
      <c r="L19" s="250"/>
      <c r="M19" s="40"/>
      <c r="N19" s="82" t="s">
        <v>23</v>
      </c>
      <c r="O19" s="5"/>
      <c r="Q19" s="4"/>
      <c r="R19" s="7"/>
      <c r="AA19" s="293">
        <f>IF(OR($K$21&lt;2,$CB$26="Neen"),AA20,AA20+AA28)</f>
        <v>8600</v>
      </c>
      <c r="AB19" s="293"/>
      <c r="AC19" s="293"/>
      <c r="AD19" s="294"/>
      <c r="AE19" s="294"/>
      <c r="AF19" s="294"/>
      <c r="AH19" s="272"/>
      <c r="AI19" s="272"/>
      <c r="AJ19" s="272"/>
      <c r="AM19" s="272"/>
      <c r="AN19" s="272"/>
      <c r="AO19" s="272"/>
      <c r="AP19" s="8"/>
      <c r="AR19" s="7"/>
      <c r="CC19" s="8"/>
      <c r="CD19" s="5"/>
    </row>
    <row r="20" spans="1:108" ht="15" customHeight="1" x14ac:dyDescent="0.25">
      <c r="A20" s="4"/>
      <c r="B20" s="79" t="s">
        <v>36</v>
      </c>
      <c r="C20" s="40"/>
      <c r="D20" s="40"/>
      <c r="E20" s="40"/>
      <c r="F20" s="40"/>
      <c r="G20" s="40"/>
      <c r="H20" s="40"/>
      <c r="I20" s="40"/>
      <c r="J20" s="250" t="str">
        <f>CI16&amp;"-"&amp;CI15</f>
        <v>100-550</v>
      </c>
      <c r="K20" s="250"/>
      <c r="L20" s="250"/>
      <c r="M20" s="40"/>
      <c r="N20" s="82" t="s">
        <v>23</v>
      </c>
      <c r="O20" s="5"/>
      <c r="Q20" s="4"/>
      <c r="R20" s="7"/>
      <c r="S20" s="1" t="s">
        <v>37</v>
      </c>
      <c r="T20" s="3"/>
      <c r="U20" s="3"/>
      <c r="V20" s="3"/>
      <c r="W20" s="3"/>
      <c r="AA20" s="277">
        <f>IF(BW21=0,,BP21)</f>
        <v>4300</v>
      </c>
      <c r="AB20" s="277"/>
      <c r="AC20" s="277"/>
      <c r="AE20" s="185" t="s">
        <v>28</v>
      </c>
      <c r="AG20" s="269" t="str">
        <f>IF(BW21=0,"",IF(AA19&lt;$K$18/2,"OK",IF(AA19&lt;$K$18,"OK",IF(AA19&lt;$K$18*1.15,"Vermogensbeperking mogelijk","Vermogensbeperking"))))</f>
        <v>OK</v>
      </c>
      <c r="AH20" s="270"/>
      <c r="AI20" s="270"/>
      <c r="AJ20" s="270"/>
      <c r="AK20" s="270"/>
      <c r="AL20" s="270"/>
      <c r="AM20" s="270"/>
      <c r="AN20" s="270"/>
      <c r="AO20" s="271"/>
      <c r="AP20" s="8"/>
      <c r="AR20" s="7"/>
      <c r="AS20" s="255" t="s">
        <v>38</v>
      </c>
      <c r="AT20" s="255"/>
      <c r="AU20" s="255"/>
      <c r="AV20" s="255"/>
      <c r="AW20" s="255"/>
      <c r="AX20" s="255"/>
      <c r="AY20" s="255"/>
      <c r="AZ20" s="255"/>
      <c r="BA20" s="255"/>
      <c r="BC20" s="255" t="s">
        <v>39</v>
      </c>
      <c r="BD20" s="255"/>
      <c r="BE20" s="255"/>
      <c r="BF20" s="255"/>
      <c r="BG20" s="255"/>
      <c r="BH20" s="255"/>
      <c r="BI20" s="255"/>
      <c r="BJ20" s="255"/>
      <c r="BK20" s="255"/>
      <c r="BM20" s="255" t="s">
        <v>40</v>
      </c>
      <c r="BN20" s="255"/>
      <c r="BO20" s="255"/>
      <c r="BP20" s="255"/>
      <c r="BQ20" s="255"/>
      <c r="BR20" s="255"/>
      <c r="BS20" s="255"/>
      <c r="BT20" s="255"/>
      <c r="BU20" s="255"/>
      <c r="BW20" s="255" t="s">
        <v>41</v>
      </c>
      <c r="BX20" s="255"/>
      <c r="BY20" s="255"/>
      <c r="BZ20" s="255"/>
      <c r="CA20" s="255"/>
      <c r="CB20" s="255"/>
      <c r="CC20" s="8"/>
      <c r="CD20" s="5"/>
      <c r="CF20" s="12" t="s">
        <v>42</v>
      </c>
      <c r="CG20" s="12" t="s">
        <v>43</v>
      </c>
      <c r="CH20" s="12" t="s">
        <v>44</v>
      </c>
      <c r="CI20" s="12" t="s">
        <v>45</v>
      </c>
      <c r="CJ20" s="12" t="s">
        <v>46</v>
      </c>
      <c r="CK20" s="12" t="s">
        <v>47</v>
      </c>
      <c r="CL20" s="12" t="s">
        <v>48</v>
      </c>
      <c r="CM20" s="12" t="s">
        <v>49</v>
      </c>
      <c r="CN20" s="12" t="s">
        <v>50</v>
      </c>
      <c r="CO20" s="12" t="s">
        <v>51</v>
      </c>
      <c r="CP20" s="12" t="s">
        <v>52</v>
      </c>
      <c r="CQ20" s="12" t="s">
        <v>53</v>
      </c>
      <c r="CR20" s="12" t="s">
        <v>54</v>
      </c>
      <c r="CS20" s="12" t="s">
        <v>55</v>
      </c>
      <c r="CT20" s="12" t="s">
        <v>56</v>
      </c>
      <c r="CU20" s="12" t="s">
        <v>57</v>
      </c>
      <c r="CV20" s="12" t="s">
        <v>58</v>
      </c>
      <c r="CW20" s="9" t="s">
        <v>59</v>
      </c>
      <c r="CX20" s="12" t="s">
        <v>60</v>
      </c>
    </row>
    <row r="21" spans="1:108" ht="15" customHeight="1" x14ac:dyDescent="0.25">
      <c r="A21" s="4"/>
      <c r="B21" s="39" t="s">
        <v>61</v>
      </c>
      <c r="C21" s="40"/>
      <c r="D21" s="40"/>
      <c r="E21" s="40"/>
      <c r="F21" s="40"/>
      <c r="G21" s="40"/>
      <c r="H21" s="40"/>
      <c r="I21" s="40"/>
      <c r="J21" s="40"/>
      <c r="K21" s="250">
        <v>2</v>
      </c>
      <c r="L21" s="250"/>
      <c r="M21" s="40"/>
      <c r="N21" s="90" t="s">
        <v>62</v>
      </c>
      <c r="O21" s="5"/>
      <c r="Q21" s="4"/>
      <c r="R21" s="7"/>
      <c r="S21" s="1" t="s">
        <v>63</v>
      </c>
      <c r="V21" s="3"/>
      <c r="AA21" s="268" t="str">
        <f>IF(BW21=0,,TEXT(AS21*MIN(CI11:CW11),"0")&amp;"-"&amp;TEXT(AS21*MAX(CI11:CW11),"0"))</f>
        <v>325-383</v>
      </c>
      <c r="AB21" s="268"/>
      <c r="AC21" s="268"/>
      <c r="AE21" s="185" t="s">
        <v>23</v>
      </c>
      <c r="AG21" s="269" t="str">
        <f>IF(BW21=0,"",IF(AS21*MIN(CI11:CW11)&lt;CI16,"Te weinig modules in serie",IF(AS21*MAX(CI11:CW11)&gt;CI15,"Teveel modules in serie","OK")))</f>
        <v>OK</v>
      </c>
      <c r="AH21" s="270"/>
      <c r="AI21" s="270"/>
      <c r="AJ21" s="270"/>
      <c r="AK21" s="270"/>
      <c r="AL21" s="270"/>
      <c r="AM21" s="270"/>
      <c r="AN21" s="270"/>
      <c r="AO21" s="271"/>
      <c r="AP21" s="8"/>
      <c r="AR21" s="7"/>
      <c r="AS21" s="262">
        <v>10</v>
      </c>
      <c r="AT21" s="263"/>
      <c r="AU21" s="266" t="s">
        <v>12</v>
      </c>
      <c r="AV21" s="256">
        <f>IF($CB$18="Ja",J36,0)</f>
        <v>430</v>
      </c>
      <c r="AW21" s="257"/>
      <c r="AX21" s="257"/>
      <c r="AY21" s="257"/>
      <c r="AZ21" s="257"/>
      <c r="BA21" s="258"/>
      <c r="BB21" s="40"/>
      <c r="BC21" s="262">
        <v>1</v>
      </c>
      <c r="BD21" s="263"/>
      <c r="BE21" s="266" t="s">
        <v>12</v>
      </c>
      <c r="BF21" s="256">
        <f>AS21*AV21</f>
        <v>4300</v>
      </c>
      <c r="BG21" s="257"/>
      <c r="BH21" s="257"/>
      <c r="BI21" s="257"/>
      <c r="BJ21" s="257"/>
      <c r="BK21" s="258"/>
      <c r="BL21" s="40"/>
      <c r="BM21" s="262">
        <v>1</v>
      </c>
      <c r="BN21" s="263"/>
      <c r="BO21" s="266" t="s">
        <v>12</v>
      </c>
      <c r="BP21" s="256">
        <f>BF21*BC21*BM21</f>
        <v>4300</v>
      </c>
      <c r="BQ21" s="257"/>
      <c r="BR21" s="257"/>
      <c r="BS21" s="257"/>
      <c r="BT21" s="257"/>
      <c r="BU21" s="258"/>
      <c r="BW21" s="313">
        <f>IF(CB18="Ja",BC21*AS21*BM21,0)</f>
        <v>10</v>
      </c>
      <c r="BX21" s="314"/>
      <c r="BY21" s="314"/>
      <c r="BZ21" s="314"/>
      <c r="CA21" s="314"/>
      <c r="CB21" s="315"/>
      <c r="CC21" s="8"/>
      <c r="CD21" s="5"/>
      <c r="CF21" s="1" t="s">
        <v>64</v>
      </c>
      <c r="CG21" s="178">
        <v>5000</v>
      </c>
      <c r="CH21" s="178">
        <v>6600</v>
      </c>
      <c r="CI21" s="178">
        <v>12</v>
      </c>
      <c r="CJ21" s="178">
        <v>580</v>
      </c>
      <c r="CK21" s="178">
        <v>125</v>
      </c>
      <c r="CL21" s="178" t="s">
        <v>65</v>
      </c>
      <c r="CM21" s="178">
        <v>550</v>
      </c>
      <c r="CN21" s="178">
        <v>125</v>
      </c>
      <c r="CO21" s="178" t="s">
        <v>66</v>
      </c>
      <c r="CP21" s="178">
        <v>2</v>
      </c>
      <c r="CQ21" s="178">
        <v>6</v>
      </c>
      <c r="CR21" s="1" t="s">
        <v>67</v>
      </c>
      <c r="CS21" s="178">
        <v>4.5999999999999996</v>
      </c>
      <c r="CT21" s="178">
        <v>5</v>
      </c>
      <c r="CU21" s="1">
        <v>100</v>
      </c>
      <c r="CV21" s="1">
        <v>1000</v>
      </c>
      <c r="CW21" s="1">
        <v>51.2</v>
      </c>
      <c r="CX21" s="178">
        <f>CT21*1.5</f>
        <v>7.5</v>
      </c>
    </row>
    <row r="22" spans="1:108" ht="15" customHeight="1" x14ac:dyDescent="0.25">
      <c r="A22" s="4"/>
      <c r="B22" s="79" t="s">
        <v>68</v>
      </c>
      <c r="C22" s="40"/>
      <c r="D22" s="40"/>
      <c r="E22" s="40"/>
      <c r="F22" s="40"/>
      <c r="G22" s="39"/>
      <c r="H22" s="39"/>
      <c r="I22" s="40"/>
      <c r="J22" s="40"/>
      <c r="K22" s="250">
        <f>VLOOKUP($H$11,$CF$21:$CT$33,4,FALSE)</f>
        <v>15</v>
      </c>
      <c r="L22" s="250"/>
      <c r="M22" s="40"/>
      <c r="N22" s="82" t="s">
        <v>69</v>
      </c>
      <c r="O22" s="5"/>
      <c r="Q22" s="4"/>
      <c r="R22" s="7"/>
      <c r="S22" s="1" t="s">
        <v>70</v>
      </c>
      <c r="AA22" s="2"/>
      <c r="AB22" s="268">
        <f>IF(BW21=0,,AS21*MAX(CI10:CW10))</f>
        <v>452.83960000000002</v>
      </c>
      <c r="AC22" s="268"/>
      <c r="AE22" s="185" t="s">
        <v>23</v>
      </c>
      <c r="AG22" s="295" t="str">
        <f>IF(BW21=0,"",IF(AB22&gt;CI17,"Open circuit spanning te hoog","OK"))</f>
        <v>OK</v>
      </c>
      <c r="AH22" s="296"/>
      <c r="AI22" s="296"/>
      <c r="AJ22" s="296"/>
      <c r="AK22" s="296"/>
      <c r="AL22" s="296"/>
      <c r="AM22" s="296"/>
      <c r="AN22" s="296"/>
      <c r="AO22" s="297"/>
      <c r="AP22" s="8"/>
      <c r="AR22" s="7"/>
      <c r="AS22" s="264"/>
      <c r="AT22" s="265"/>
      <c r="AU22" s="267"/>
      <c r="AV22" s="259"/>
      <c r="AW22" s="260"/>
      <c r="AX22" s="260"/>
      <c r="AY22" s="260"/>
      <c r="AZ22" s="260"/>
      <c r="BA22" s="261"/>
      <c r="BB22" s="179"/>
      <c r="BC22" s="264"/>
      <c r="BD22" s="265"/>
      <c r="BE22" s="267"/>
      <c r="BF22" s="259"/>
      <c r="BG22" s="260"/>
      <c r="BH22" s="260"/>
      <c r="BI22" s="260"/>
      <c r="BJ22" s="260"/>
      <c r="BK22" s="261"/>
      <c r="BL22" s="179"/>
      <c r="BM22" s="264"/>
      <c r="BN22" s="265"/>
      <c r="BO22" s="267"/>
      <c r="BP22" s="259"/>
      <c r="BQ22" s="260"/>
      <c r="BR22" s="260"/>
      <c r="BS22" s="260"/>
      <c r="BT22" s="260"/>
      <c r="BU22" s="261"/>
      <c r="BW22" s="316"/>
      <c r="BX22" s="317"/>
      <c r="BY22" s="317"/>
      <c r="BZ22" s="317"/>
      <c r="CA22" s="317"/>
      <c r="CB22" s="318"/>
      <c r="CC22" s="8"/>
      <c r="CD22" s="5"/>
      <c r="CF22" s="1" t="s">
        <v>71</v>
      </c>
      <c r="CG22" s="178">
        <v>5000</v>
      </c>
      <c r="CH22" s="178">
        <v>7500</v>
      </c>
      <c r="CI22" s="178">
        <v>15</v>
      </c>
      <c r="CJ22" s="178">
        <v>580</v>
      </c>
      <c r="CK22" s="178">
        <v>70</v>
      </c>
      <c r="CL22" s="178" t="s">
        <v>72</v>
      </c>
      <c r="CM22" s="178">
        <v>540</v>
      </c>
      <c r="CN22" s="178">
        <v>70</v>
      </c>
      <c r="CO22" s="178" t="s">
        <v>73</v>
      </c>
      <c r="CP22" s="178">
        <v>2</v>
      </c>
      <c r="CQ22" s="178">
        <v>6</v>
      </c>
      <c r="CR22" s="1" t="s">
        <v>74</v>
      </c>
      <c r="CS22" s="178">
        <v>4.5999999999999996</v>
      </c>
      <c r="CT22" s="178">
        <v>5</v>
      </c>
      <c r="CU22" s="1">
        <v>100</v>
      </c>
      <c r="CV22" s="1">
        <v>1000</v>
      </c>
      <c r="CW22" s="1">
        <v>51.2</v>
      </c>
      <c r="CX22" s="178">
        <v>7.5</v>
      </c>
    </row>
    <row r="23" spans="1:108" ht="15" customHeight="1" x14ac:dyDescent="0.35">
      <c r="A23" s="4"/>
      <c r="B23" s="39"/>
      <c r="C23" s="40"/>
      <c r="D23" s="40"/>
      <c r="E23" s="40"/>
      <c r="F23" s="40"/>
      <c r="G23" s="40"/>
      <c r="H23" s="40"/>
      <c r="I23" s="40"/>
      <c r="J23" s="40"/>
      <c r="K23" s="250"/>
      <c r="L23" s="250"/>
      <c r="M23" s="40"/>
      <c r="N23" s="90"/>
      <c r="O23" s="5"/>
      <c r="Q23" s="4"/>
      <c r="R23" s="7"/>
      <c r="S23" s="1" t="s">
        <v>75</v>
      </c>
      <c r="V23" s="3"/>
      <c r="W23" s="3"/>
      <c r="AA23" s="2"/>
      <c r="AB23" s="335">
        <f>IF(BW21=0,,BC21*MAX(CI12:CW12))</f>
        <v>10.022954445858808</v>
      </c>
      <c r="AC23" s="335"/>
      <c r="AE23" s="185" t="s">
        <v>69</v>
      </c>
      <c r="AG23" s="269" t="str">
        <f>IF(BW21=0,"",IF(AB23&gt;K22,"Beperking bij ca. "&amp;ROUND((K22*CR11*AS21)/BP21*100,0)&amp;"% Pstc","OK"))</f>
        <v>OK</v>
      </c>
      <c r="AH23" s="270"/>
      <c r="AI23" s="270"/>
      <c r="AJ23" s="270"/>
      <c r="AK23" s="270"/>
      <c r="AL23" s="270"/>
      <c r="AM23" s="270"/>
      <c r="AN23" s="270"/>
      <c r="AO23" s="271"/>
      <c r="AP23" s="8"/>
      <c r="AR23" s="7"/>
      <c r="CC23" s="8"/>
      <c r="CD23" s="5"/>
      <c r="CF23" s="1" t="s">
        <v>76</v>
      </c>
      <c r="CG23" s="178">
        <v>10000</v>
      </c>
      <c r="CH23" s="178">
        <v>16000</v>
      </c>
      <c r="CI23" s="178">
        <v>26</v>
      </c>
      <c r="CJ23" s="178">
        <v>1000</v>
      </c>
      <c r="CK23" s="178">
        <v>200</v>
      </c>
      <c r="CL23" s="178" t="s">
        <v>77</v>
      </c>
      <c r="CM23" s="178">
        <v>850</v>
      </c>
      <c r="CN23" s="178">
        <v>200</v>
      </c>
      <c r="CO23" s="178" t="s">
        <v>78</v>
      </c>
      <c r="CP23" s="178">
        <v>2</v>
      </c>
      <c r="CQ23" s="178">
        <v>6</v>
      </c>
      <c r="CR23" s="1" t="s">
        <v>79</v>
      </c>
      <c r="CS23" s="178">
        <v>9.3000000000000007</v>
      </c>
      <c r="CT23" s="178">
        <v>9.3000000000000007</v>
      </c>
      <c r="CU23" s="1">
        <v>40</v>
      </c>
      <c r="CV23" s="1">
        <v>40</v>
      </c>
      <c r="CW23" s="1">
        <v>256</v>
      </c>
      <c r="CX23" s="178">
        <f t="shared" ref="CX23:CX31" si="4">CT23</f>
        <v>9.3000000000000007</v>
      </c>
    </row>
    <row r="24" spans="1:108" ht="15" customHeight="1" x14ac:dyDescent="0.2">
      <c r="A24" s="33"/>
      <c r="B24" s="25"/>
      <c r="C24" s="25"/>
      <c r="D24" s="25"/>
      <c r="E24" s="25"/>
      <c r="F24" s="25"/>
      <c r="G24" s="25"/>
      <c r="H24" s="25"/>
      <c r="I24" s="25"/>
      <c r="J24" s="25"/>
      <c r="K24" s="25"/>
      <c r="L24" s="25"/>
      <c r="M24" s="25"/>
      <c r="N24" s="25"/>
      <c r="O24" s="30"/>
      <c r="Q24" s="4"/>
      <c r="R24" s="13"/>
      <c r="S24" s="14"/>
      <c r="T24" s="14"/>
      <c r="U24" s="14"/>
      <c r="V24" s="14"/>
      <c r="W24" s="14"/>
      <c r="X24" s="14"/>
      <c r="Y24" s="14"/>
      <c r="Z24" s="14"/>
      <c r="AA24" s="14"/>
      <c r="AB24" s="14"/>
      <c r="AC24" s="14"/>
      <c r="AD24" s="14"/>
      <c r="AE24" s="14"/>
      <c r="AF24" s="14"/>
      <c r="AG24" s="14"/>
      <c r="AH24" s="14"/>
      <c r="AI24" s="14"/>
      <c r="AJ24" s="14"/>
      <c r="AK24" s="14"/>
      <c r="AL24" s="14"/>
      <c r="AM24" s="14"/>
      <c r="AN24" s="14"/>
      <c r="AO24" s="14"/>
      <c r="AP24" s="15"/>
      <c r="AR24" s="13"/>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5"/>
      <c r="CD24" s="5"/>
      <c r="CF24" s="1" t="s">
        <v>80</v>
      </c>
      <c r="CG24" s="178">
        <v>3680</v>
      </c>
      <c r="CH24" s="178">
        <v>7200</v>
      </c>
      <c r="CI24" s="178">
        <v>15</v>
      </c>
      <c r="CJ24" s="178">
        <v>580</v>
      </c>
      <c r="CK24" s="178">
        <v>100</v>
      </c>
      <c r="CL24" s="178" t="s">
        <v>81</v>
      </c>
      <c r="CM24" s="178">
        <v>550</v>
      </c>
      <c r="CN24" s="178">
        <v>100</v>
      </c>
      <c r="CO24" s="178" t="s">
        <v>82</v>
      </c>
      <c r="CP24" s="178">
        <v>2</v>
      </c>
      <c r="CQ24" s="178">
        <v>6</v>
      </c>
      <c r="CR24" s="1" t="s">
        <v>80</v>
      </c>
      <c r="CS24" s="178">
        <v>3.68</v>
      </c>
      <c r="CT24" s="178">
        <v>3.68</v>
      </c>
      <c r="CU24" s="1">
        <v>100</v>
      </c>
      <c r="CV24" s="1">
        <v>1000</v>
      </c>
      <c r="CW24" s="1">
        <v>90</v>
      </c>
      <c r="CX24" s="178">
        <f t="shared" si="4"/>
        <v>3.68</v>
      </c>
    </row>
    <row r="25" spans="1:108" ht="15" customHeight="1" x14ac:dyDescent="0.2">
      <c r="Q25" s="4"/>
      <c r="CD25" s="5"/>
      <c r="CF25" s="1" t="s">
        <v>9</v>
      </c>
      <c r="CG25" s="178">
        <v>5000</v>
      </c>
      <c r="CH25" s="178">
        <v>10000</v>
      </c>
      <c r="CI25" s="178">
        <v>15</v>
      </c>
      <c r="CJ25" s="178">
        <v>580</v>
      </c>
      <c r="CK25" s="178">
        <v>100</v>
      </c>
      <c r="CL25" s="178" t="s">
        <v>81</v>
      </c>
      <c r="CM25" s="178">
        <v>550</v>
      </c>
      <c r="CN25" s="178">
        <v>100</v>
      </c>
      <c r="CO25" s="178" t="s">
        <v>82</v>
      </c>
      <c r="CP25" s="178">
        <v>2</v>
      </c>
      <c r="CQ25" s="178">
        <v>6</v>
      </c>
      <c r="CR25" s="1" t="s">
        <v>9</v>
      </c>
      <c r="CS25" s="178">
        <v>5</v>
      </c>
      <c r="CT25" s="178">
        <v>5</v>
      </c>
      <c r="CU25" s="1">
        <v>100</v>
      </c>
      <c r="CV25" s="1">
        <v>1000</v>
      </c>
      <c r="CW25" s="1">
        <v>90</v>
      </c>
      <c r="CX25" s="178">
        <f t="shared" si="4"/>
        <v>5</v>
      </c>
    </row>
    <row r="26" spans="1:108" ht="15" customHeight="1" x14ac:dyDescent="0.25">
      <c r="A26" s="298" t="s">
        <v>83</v>
      </c>
      <c r="B26" s="299"/>
      <c r="C26" s="299"/>
      <c r="D26" s="299"/>
      <c r="E26" s="299"/>
      <c r="F26" s="299"/>
      <c r="G26" s="299"/>
      <c r="H26" s="299"/>
      <c r="I26" s="299"/>
      <c r="J26" s="299"/>
      <c r="K26" s="299"/>
      <c r="L26" s="299"/>
      <c r="M26" s="299"/>
      <c r="N26" s="299"/>
      <c r="O26" s="300"/>
      <c r="Q26" s="4"/>
      <c r="R26" s="290" t="s">
        <v>6</v>
      </c>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2"/>
      <c r="AR26" s="333" t="s">
        <v>84</v>
      </c>
      <c r="AS26" s="334"/>
      <c r="AT26" s="334"/>
      <c r="AU26" s="334"/>
      <c r="AV26" s="334"/>
      <c r="AW26" s="334"/>
      <c r="AX26" s="334"/>
      <c r="AY26" s="334"/>
      <c r="AZ26" s="334"/>
      <c r="BA26" s="334"/>
      <c r="BB26" s="334"/>
      <c r="BC26" s="334"/>
      <c r="BD26" s="334"/>
      <c r="BE26" s="334"/>
      <c r="BF26" s="334"/>
      <c r="BG26" s="334"/>
      <c r="BH26" s="334"/>
      <c r="BI26" s="334"/>
      <c r="BJ26" s="334"/>
      <c r="BK26" s="334"/>
      <c r="BL26" s="334"/>
      <c r="BM26" s="6"/>
      <c r="BN26" s="6"/>
      <c r="BO26" s="6"/>
      <c r="BP26" s="6"/>
      <c r="BQ26" s="6"/>
      <c r="BR26" s="6"/>
      <c r="BS26" s="6"/>
      <c r="BT26" s="6"/>
      <c r="BU26" s="6"/>
      <c r="BV26" s="6"/>
      <c r="BW26" s="6"/>
      <c r="BX26" s="189" t="s">
        <v>33</v>
      </c>
      <c r="BY26" s="16"/>
      <c r="BZ26" s="16"/>
      <c r="CA26" s="16"/>
      <c r="CB26" s="319" t="s">
        <v>34</v>
      </c>
      <c r="CC26" s="320"/>
      <c r="CD26" s="5"/>
      <c r="CF26" s="1" t="s">
        <v>85</v>
      </c>
      <c r="CG26" s="178">
        <v>5000</v>
      </c>
      <c r="CH26" s="178">
        <v>10000</v>
      </c>
      <c r="CI26" s="178">
        <v>10</v>
      </c>
      <c r="CJ26" s="178">
        <v>900</v>
      </c>
      <c r="CK26" s="178">
        <v>250</v>
      </c>
      <c r="CL26" s="178" t="s">
        <v>86</v>
      </c>
      <c r="CM26" s="178">
        <v>800</v>
      </c>
      <c r="CN26" s="178">
        <v>250</v>
      </c>
      <c r="CO26" s="178" t="s">
        <v>87</v>
      </c>
      <c r="CP26" s="178">
        <v>2</v>
      </c>
      <c r="CQ26" s="178">
        <v>4</v>
      </c>
      <c r="CR26" s="1" t="s">
        <v>88</v>
      </c>
      <c r="CS26" s="178">
        <v>5</v>
      </c>
      <c r="CT26" s="178">
        <v>5</v>
      </c>
      <c r="CU26" s="2">
        <v>100</v>
      </c>
      <c r="CV26" s="1">
        <v>1000</v>
      </c>
      <c r="CW26" s="1">
        <v>48</v>
      </c>
      <c r="CX26" s="178">
        <f t="shared" si="4"/>
        <v>5</v>
      </c>
    </row>
    <row r="27" spans="1:108" ht="15" customHeight="1" x14ac:dyDescent="0.2">
      <c r="A27" s="301"/>
      <c r="B27" s="302"/>
      <c r="C27" s="302"/>
      <c r="D27" s="302"/>
      <c r="E27" s="302"/>
      <c r="F27" s="302"/>
      <c r="G27" s="302"/>
      <c r="H27" s="302"/>
      <c r="I27" s="302"/>
      <c r="J27" s="302"/>
      <c r="K27" s="302"/>
      <c r="L27" s="302"/>
      <c r="M27" s="302"/>
      <c r="N27" s="302"/>
      <c r="O27" s="303"/>
      <c r="Q27" s="4"/>
      <c r="R27" s="17"/>
      <c r="AA27" s="332">
        <f>IF(OR($K$21&lt;2,$CB$26="Neen"),AA20,IF($CB$18="Ja",$AA$20+$AA$28,$AA$28))</f>
        <v>8600</v>
      </c>
      <c r="AB27" s="332"/>
      <c r="AC27" s="332"/>
      <c r="AD27" s="294"/>
      <c r="AE27" s="294"/>
      <c r="AF27" s="294"/>
      <c r="AH27" s="272"/>
      <c r="AI27" s="272"/>
      <c r="AJ27" s="272"/>
      <c r="AM27" s="272"/>
      <c r="AN27" s="272"/>
      <c r="AO27" s="272"/>
      <c r="AP27" s="18"/>
      <c r="AR27" s="7"/>
      <c r="CC27" s="8"/>
      <c r="CD27" s="5"/>
      <c r="CF27" s="1" t="s">
        <v>89</v>
      </c>
      <c r="CG27" s="178">
        <v>3000</v>
      </c>
      <c r="CH27" s="178">
        <v>0</v>
      </c>
      <c r="CI27" s="178">
        <v>0</v>
      </c>
      <c r="CJ27" s="178">
        <v>0</v>
      </c>
      <c r="CK27" s="178">
        <v>0</v>
      </c>
      <c r="CL27" s="178">
        <v>0</v>
      </c>
      <c r="CM27" s="178">
        <v>0</v>
      </c>
      <c r="CN27" s="178">
        <v>0</v>
      </c>
      <c r="CO27" s="178">
        <v>0</v>
      </c>
      <c r="CP27" s="178">
        <v>0</v>
      </c>
      <c r="CQ27" s="178">
        <v>5</v>
      </c>
      <c r="CR27" s="1" t="s">
        <v>90</v>
      </c>
      <c r="CS27" s="22">
        <v>3</v>
      </c>
      <c r="CT27" s="178">
        <v>3</v>
      </c>
      <c r="CU27" s="1">
        <v>60</v>
      </c>
      <c r="CV27" s="1">
        <v>60</v>
      </c>
      <c r="CW27" s="1">
        <v>0</v>
      </c>
      <c r="CX27" s="178">
        <f t="shared" si="4"/>
        <v>3</v>
      </c>
    </row>
    <row r="28" spans="1:108" ht="15" customHeight="1" x14ac:dyDescent="0.25">
      <c r="A28" s="4"/>
      <c r="O28" s="27"/>
      <c r="Q28" s="4"/>
      <c r="R28" s="17"/>
      <c r="S28" s="1" t="s">
        <v>37</v>
      </c>
      <c r="T28" s="3"/>
      <c r="U28" s="3"/>
      <c r="V28" s="3"/>
      <c r="W28" s="3"/>
      <c r="AA28" s="277">
        <f>IF(BW29=0,,BP29)</f>
        <v>4300</v>
      </c>
      <c r="AB28" s="277"/>
      <c r="AC28" s="277"/>
      <c r="AE28" s="185" t="s">
        <v>91</v>
      </c>
      <c r="AG28" s="269" t="str">
        <f>IF(BW29=0,"",IF(AA27&lt;$K$18/2,"OK",IF(AA27&lt;$K$18,"OK",IF(AA27&lt;$K$18*1.15,"Vermogensbeperking mogelijk","Vermogensbeperking"))))</f>
        <v>OK</v>
      </c>
      <c r="AH28" s="270"/>
      <c r="AI28" s="270"/>
      <c r="AJ28" s="270"/>
      <c r="AK28" s="270"/>
      <c r="AL28" s="270"/>
      <c r="AM28" s="270"/>
      <c r="AN28" s="270"/>
      <c r="AO28" s="271"/>
      <c r="AP28" s="18"/>
      <c r="AR28" s="7"/>
      <c r="AS28" s="255" t="s">
        <v>38</v>
      </c>
      <c r="AT28" s="255"/>
      <c r="AU28" s="255"/>
      <c r="AV28" s="255"/>
      <c r="AW28" s="255"/>
      <c r="AX28" s="255"/>
      <c r="AY28" s="255"/>
      <c r="AZ28" s="255"/>
      <c r="BA28" s="255"/>
      <c r="BC28" s="255" t="s">
        <v>39</v>
      </c>
      <c r="BD28" s="255"/>
      <c r="BE28" s="255"/>
      <c r="BF28" s="255"/>
      <c r="BG28" s="255"/>
      <c r="BH28" s="255"/>
      <c r="BI28" s="255"/>
      <c r="BJ28" s="255"/>
      <c r="BK28" s="255"/>
      <c r="BM28" s="255" t="s">
        <v>40</v>
      </c>
      <c r="BN28" s="255"/>
      <c r="BO28" s="255"/>
      <c r="BP28" s="255"/>
      <c r="BQ28" s="255"/>
      <c r="BR28" s="255"/>
      <c r="BS28" s="255"/>
      <c r="BT28" s="255"/>
      <c r="BU28" s="255"/>
      <c r="BW28" s="255" t="s">
        <v>41</v>
      </c>
      <c r="BX28" s="255"/>
      <c r="BY28" s="255"/>
      <c r="BZ28" s="255"/>
      <c r="CA28" s="255"/>
      <c r="CB28" s="255"/>
      <c r="CC28" s="8"/>
      <c r="CD28" s="5"/>
      <c r="CF28" s="1" t="s">
        <v>92</v>
      </c>
      <c r="CG28" s="178">
        <v>10000</v>
      </c>
      <c r="CH28" s="178">
        <v>13000</v>
      </c>
      <c r="CI28" s="178">
        <v>12.5</v>
      </c>
      <c r="CJ28" s="178">
        <v>1000</v>
      </c>
      <c r="CK28" s="178">
        <v>180</v>
      </c>
      <c r="CL28" s="178" t="s">
        <v>93</v>
      </c>
      <c r="CM28" s="178">
        <v>850</v>
      </c>
      <c r="CN28" s="178">
        <v>200</v>
      </c>
      <c r="CO28" s="178" t="s">
        <v>78</v>
      </c>
      <c r="CP28" s="178">
        <v>2</v>
      </c>
      <c r="CQ28" s="178">
        <v>8</v>
      </c>
      <c r="CR28" s="1" t="s">
        <v>94</v>
      </c>
      <c r="CS28" s="22">
        <v>10</v>
      </c>
      <c r="CT28" s="178">
        <v>10</v>
      </c>
      <c r="CU28" s="1">
        <v>25</v>
      </c>
      <c r="CV28" s="1">
        <v>25</v>
      </c>
      <c r="CW28" s="1">
        <v>180</v>
      </c>
      <c r="CX28" s="178">
        <f>CS28*1.65</f>
        <v>16.5</v>
      </c>
    </row>
    <row r="29" spans="1:108" ht="15" customHeight="1" x14ac:dyDescent="0.25">
      <c r="A29" s="10"/>
      <c r="B29" s="39" t="s">
        <v>95</v>
      </c>
      <c r="C29" s="3"/>
      <c r="D29" s="3"/>
      <c r="E29" s="3"/>
      <c r="F29" s="3"/>
      <c r="G29" s="3"/>
      <c r="H29" s="305" t="s">
        <v>96</v>
      </c>
      <c r="I29" s="306"/>
      <c r="J29" s="306"/>
      <c r="K29" s="306"/>
      <c r="L29" s="306"/>
      <c r="M29" s="306"/>
      <c r="N29" s="307"/>
      <c r="O29" s="27"/>
      <c r="Q29" s="4"/>
      <c r="R29" s="17"/>
      <c r="S29" s="1" t="s">
        <v>63</v>
      </c>
      <c r="V29" s="3"/>
      <c r="AA29" s="268" t="str">
        <f>IF(BW29=0,,TEXT(AS29*MIN(CI11:CW11),"0")&amp;"-"&amp;TEXT(AS29*MAX(CI11:CW11),"0"))</f>
        <v>325-383</v>
      </c>
      <c r="AB29" s="268"/>
      <c r="AC29" s="268"/>
      <c r="AE29" s="185" t="s">
        <v>23</v>
      </c>
      <c r="AG29" s="269" t="str">
        <f>IF(BW29=0,"",IF(AS29*MIN(CI11:CW11)&lt;CI16,"Te weinig modules in serie",IF(AS29*MAX(CI11:CW11)&gt;CI15,"Teveel modules in serie","OK")))</f>
        <v>OK</v>
      </c>
      <c r="AH29" s="270"/>
      <c r="AI29" s="270"/>
      <c r="AJ29" s="270"/>
      <c r="AK29" s="270"/>
      <c r="AL29" s="270"/>
      <c r="AM29" s="270"/>
      <c r="AN29" s="270"/>
      <c r="AO29" s="271"/>
      <c r="AP29" s="18"/>
      <c r="AR29" s="7"/>
      <c r="AS29" s="262">
        <v>10</v>
      </c>
      <c r="AT29" s="263"/>
      <c r="AU29" s="266" t="s">
        <v>12</v>
      </c>
      <c r="AV29" s="256">
        <f>IF($CB$26="Ja",J36,0)</f>
        <v>430</v>
      </c>
      <c r="AW29" s="257"/>
      <c r="AX29" s="257"/>
      <c r="AY29" s="257"/>
      <c r="AZ29" s="257"/>
      <c r="BA29" s="258"/>
      <c r="BB29" s="40"/>
      <c r="BC29" s="262">
        <v>1</v>
      </c>
      <c r="BD29" s="263"/>
      <c r="BE29" s="266" t="s">
        <v>12</v>
      </c>
      <c r="BF29" s="256">
        <f>AS29*AV29</f>
        <v>4300</v>
      </c>
      <c r="BG29" s="257"/>
      <c r="BH29" s="257"/>
      <c r="BI29" s="257"/>
      <c r="BJ29" s="257"/>
      <c r="BK29" s="258"/>
      <c r="BL29" s="40"/>
      <c r="BM29" s="262">
        <v>1</v>
      </c>
      <c r="BN29" s="263"/>
      <c r="BO29" s="266" t="s">
        <v>12</v>
      </c>
      <c r="BP29" s="256">
        <f>BF29*BC29*BM29</f>
        <v>4300</v>
      </c>
      <c r="BQ29" s="257"/>
      <c r="BR29" s="257"/>
      <c r="BS29" s="257"/>
      <c r="BT29" s="257"/>
      <c r="BU29" s="258"/>
      <c r="BW29" s="313">
        <f>IF(CB26="Ja",BC29*AS29*BM29,0)</f>
        <v>10</v>
      </c>
      <c r="BX29" s="314"/>
      <c r="BY29" s="314"/>
      <c r="BZ29" s="314"/>
      <c r="CA29" s="314"/>
      <c r="CB29" s="315"/>
      <c r="CC29" s="8"/>
      <c r="CD29" s="5"/>
      <c r="CF29" s="1" t="s">
        <v>97</v>
      </c>
      <c r="CG29" s="178">
        <v>30000</v>
      </c>
      <c r="CH29" s="178">
        <v>0</v>
      </c>
      <c r="CI29" s="178">
        <v>0</v>
      </c>
      <c r="CJ29" s="178">
        <v>0</v>
      </c>
      <c r="CK29" s="178">
        <v>0</v>
      </c>
      <c r="CL29" s="178">
        <v>0</v>
      </c>
      <c r="CM29" s="178">
        <v>0</v>
      </c>
      <c r="CN29" s="178">
        <v>0</v>
      </c>
      <c r="CO29" s="178">
        <v>0</v>
      </c>
      <c r="CP29" s="178">
        <v>0</v>
      </c>
      <c r="CQ29" s="178">
        <v>12</v>
      </c>
      <c r="CR29" s="1" t="s">
        <v>98</v>
      </c>
      <c r="CS29" s="22">
        <v>30</v>
      </c>
      <c r="CT29" s="178">
        <v>30</v>
      </c>
      <c r="CU29" s="1">
        <v>90</v>
      </c>
      <c r="CV29" s="1">
        <v>90</v>
      </c>
      <c r="CW29" s="1">
        <v>205</v>
      </c>
      <c r="CX29" s="178">
        <f t="shared" si="4"/>
        <v>30</v>
      </c>
    </row>
    <row r="30" spans="1:108" ht="15" customHeight="1" x14ac:dyDescent="0.25">
      <c r="A30" s="10"/>
      <c r="B30" s="39" t="s">
        <v>99</v>
      </c>
      <c r="C30" s="3"/>
      <c r="D30" s="3"/>
      <c r="E30" s="3"/>
      <c r="F30" s="3"/>
      <c r="G30" s="3"/>
      <c r="H30" s="305" t="s">
        <v>100</v>
      </c>
      <c r="I30" s="306"/>
      <c r="J30" s="306"/>
      <c r="K30" s="306"/>
      <c r="L30" s="306"/>
      <c r="M30" s="306"/>
      <c r="N30" s="307"/>
      <c r="O30" s="27"/>
      <c r="Q30" s="4"/>
      <c r="R30" s="17"/>
      <c r="S30" s="1" t="s">
        <v>70</v>
      </c>
      <c r="AA30" s="2"/>
      <c r="AB30" s="268">
        <f>IF(BW29=0,,AS29*MAX(CI10:CW10))</f>
        <v>452.83960000000002</v>
      </c>
      <c r="AC30" s="268"/>
      <c r="AE30" s="185" t="s">
        <v>23</v>
      </c>
      <c r="AG30" s="295" t="str">
        <f>IF(BW29=0,"",IF(AB30&gt;CI17,"Open circuit spanning te hoog","OK"))</f>
        <v>OK</v>
      </c>
      <c r="AH30" s="296"/>
      <c r="AI30" s="296"/>
      <c r="AJ30" s="296"/>
      <c r="AK30" s="296"/>
      <c r="AL30" s="296"/>
      <c r="AM30" s="296"/>
      <c r="AN30" s="296"/>
      <c r="AO30" s="297"/>
      <c r="AP30" s="18"/>
      <c r="AR30" s="7"/>
      <c r="AS30" s="264"/>
      <c r="AT30" s="265"/>
      <c r="AU30" s="267"/>
      <c r="AV30" s="259"/>
      <c r="AW30" s="260"/>
      <c r="AX30" s="260"/>
      <c r="AY30" s="260"/>
      <c r="AZ30" s="260"/>
      <c r="BA30" s="261"/>
      <c r="BB30" s="179"/>
      <c r="BC30" s="264"/>
      <c r="BD30" s="265"/>
      <c r="BE30" s="267"/>
      <c r="BF30" s="259"/>
      <c r="BG30" s="260"/>
      <c r="BH30" s="260"/>
      <c r="BI30" s="260"/>
      <c r="BJ30" s="260"/>
      <c r="BK30" s="261"/>
      <c r="BL30" s="179"/>
      <c r="BM30" s="264"/>
      <c r="BN30" s="265"/>
      <c r="BO30" s="267"/>
      <c r="BP30" s="259"/>
      <c r="BQ30" s="260"/>
      <c r="BR30" s="260"/>
      <c r="BS30" s="260"/>
      <c r="BT30" s="260"/>
      <c r="BU30" s="261"/>
      <c r="BW30" s="316"/>
      <c r="BX30" s="317"/>
      <c r="BY30" s="317"/>
      <c r="BZ30" s="317"/>
      <c r="CA30" s="317"/>
      <c r="CB30" s="318"/>
      <c r="CC30" s="8"/>
      <c r="CD30" s="27"/>
      <c r="CF30" s="1" t="s">
        <v>101</v>
      </c>
      <c r="CG30" s="178">
        <v>50</v>
      </c>
      <c r="CH30" s="178">
        <v>99000</v>
      </c>
      <c r="CI30" s="178">
        <v>110</v>
      </c>
      <c r="CJ30" s="178">
        <v>900</v>
      </c>
      <c r="CK30" s="178">
        <v>500</v>
      </c>
      <c r="CL30" s="178" t="s">
        <v>102</v>
      </c>
      <c r="CM30" s="178">
        <v>800</v>
      </c>
      <c r="CN30" s="178">
        <v>520</v>
      </c>
      <c r="CO30" s="178" t="s">
        <v>103</v>
      </c>
      <c r="CP30" s="178">
        <v>1</v>
      </c>
      <c r="CQ30" s="178">
        <v>180</v>
      </c>
      <c r="CS30" s="22">
        <v>50</v>
      </c>
      <c r="CT30" s="178">
        <v>50</v>
      </c>
      <c r="CU30" s="1">
        <v>150</v>
      </c>
      <c r="CV30" s="1">
        <v>150</v>
      </c>
      <c r="CW30" s="1">
        <v>200</v>
      </c>
      <c r="CX30" s="178">
        <f t="shared" si="4"/>
        <v>50</v>
      </c>
    </row>
    <row r="31" spans="1:108" ht="15" customHeight="1" x14ac:dyDescent="0.35">
      <c r="A31" s="23"/>
      <c r="B31" s="25"/>
      <c r="C31" s="25"/>
      <c r="D31" s="25"/>
      <c r="E31" s="25"/>
      <c r="F31" s="25"/>
      <c r="G31" s="25"/>
      <c r="H31" s="25"/>
      <c r="I31" s="25"/>
      <c r="J31" s="25"/>
      <c r="K31" s="25"/>
      <c r="L31" s="25"/>
      <c r="M31" s="24"/>
      <c r="N31" s="25"/>
      <c r="O31" s="30"/>
      <c r="Q31" s="4"/>
      <c r="R31" s="17"/>
      <c r="S31" s="1" t="s">
        <v>75</v>
      </c>
      <c r="V31" s="3"/>
      <c r="W31" s="3"/>
      <c r="AA31" s="2"/>
      <c r="AB31" s="335">
        <f>IF(BW29=0,,BC29*MAX(CI12:CW12))</f>
        <v>10.022954445858808</v>
      </c>
      <c r="AC31" s="335"/>
      <c r="AE31" s="185" t="s">
        <v>69</v>
      </c>
      <c r="AG31" s="269" t="str">
        <f>IF(BW29=0,"",IF(AB31&gt;K22,"Beperking bij ca. "&amp;ROUND((K22*CR11*AS29)/BP29*100,0)&amp;"% Pstc","OK"))</f>
        <v>OK</v>
      </c>
      <c r="AH31" s="270"/>
      <c r="AI31" s="270"/>
      <c r="AJ31" s="270"/>
      <c r="AK31" s="270"/>
      <c r="AL31" s="270"/>
      <c r="AM31" s="270"/>
      <c r="AN31" s="270"/>
      <c r="AO31" s="271"/>
      <c r="AP31" s="18"/>
      <c r="AR31" s="7"/>
      <c r="CC31" s="8"/>
      <c r="CD31" s="27"/>
      <c r="CF31" s="1" t="s">
        <v>104</v>
      </c>
      <c r="CG31" s="178">
        <v>100</v>
      </c>
      <c r="CH31" s="178">
        <v>198000</v>
      </c>
      <c r="CI31" s="178">
        <v>110</v>
      </c>
      <c r="CJ31" s="178">
        <v>900</v>
      </c>
      <c r="CK31" s="178">
        <v>500</v>
      </c>
      <c r="CL31" s="178" t="s">
        <v>102</v>
      </c>
      <c r="CM31" s="178">
        <v>800</v>
      </c>
      <c r="CN31" s="178">
        <v>520</v>
      </c>
      <c r="CO31" s="178" t="s">
        <v>103</v>
      </c>
      <c r="CP31" s="178">
        <v>2</v>
      </c>
      <c r="CQ31" s="178">
        <v>180</v>
      </c>
      <c r="CS31" s="22">
        <v>100</v>
      </c>
      <c r="CT31" s="178">
        <v>100</v>
      </c>
      <c r="CU31" s="1">
        <v>300</v>
      </c>
      <c r="CV31" s="1">
        <v>300</v>
      </c>
      <c r="CW31" s="1">
        <v>200</v>
      </c>
      <c r="CX31" s="178">
        <f t="shared" si="4"/>
        <v>100</v>
      </c>
    </row>
    <row r="32" spans="1:108" ht="15" customHeight="1" x14ac:dyDescent="0.2">
      <c r="Q32" s="4"/>
      <c r="R32" s="19"/>
      <c r="S32" s="20"/>
      <c r="T32" s="20"/>
      <c r="U32" s="20"/>
      <c r="V32" s="20"/>
      <c r="W32" s="20"/>
      <c r="X32" s="20"/>
      <c r="Y32" s="20"/>
      <c r="Z32" s="20"/>
      <c r="AA32" s="20"/>
      <c r="AB32" s="20"/>
      <c r="AC32" s="20"/>
      <c r="AD32" s="20"/>
      <c r="AE32" s="20"/>
      <c r="AF32" s="20"/>
      <c r="AG32" s="20"/>
      <c r="AH32" s="20"/>
      <c r="AI32" s="20"/>
      <c r="AJ32" s="20"/>
      <c r="AK32" s="20"/>
      <c r="AL32" s="20"/>
      <c r="AM32" s="20"/>
      <c r="AN32" s="20"/>
      <c r="AO32" s="20"/>
      <c r="AP32" s="21"/>
      <c r="AR32" s="13"/>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5"/>
      <c r="CD32" s="5"/>
      <c r="CG32" s="178"/>
      <c r="CH32" s="178"/>
      <c r="CI32" s="178"/>
      <c r="CJ32" s="178"/>
      <c r="CK32" s="178"/>
      <c r="CL32" s="178"/>
      <c r="CM32" s="178"/>
      <c r="CN32" s="178"/>
      <c r="CO32" s="178"/>
      <c r="CP32" s="178"/>
      <c r="CQ32" s="178"/>
      <c r="CS32" s="22"/>
    </row>
    <row r="33" spans="1:103" ht="15" customHeight="1" x14ac:dyDescent="0.2">
      <c r="A33" s="298" t="s">
        <v>105</v>
      </c>
      <c r="B33" s="299"/>
      <c r="C33" s="299"/>
      <c r="D33" s="299"/>
      <c r="E33" s="299"/>
      <c r="F33" s="299"/>
      <c r="G33" s="299"/>
      <c r="H33" s="299"/>
      <c r="I33" s="299"/>
      <c r="J33" s="299"/>
      <c r="K33" s="299"/>
      <c r="L33" s="299"/>
      <c r="M33" s="299"/>
      <c r="N33" s="299"/>
      <c r="O33" s="300"/>
      <c r="Q33" s="33"/>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4"/>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6"/>
      <c r="CG33" s="178"/>
      <c r="CH33" s="178"/>
      <c r="CI33" s="178"/>
      <c r="CJ33" s="178"/>
      <c r="CK33" s="178"/>
      <c r="CL33" s="178"/>
      <c r="CM33" s="178"/>
      <c r="CN33" s="178"/>
      <c r="CO33" s="178"/>
      <c r="CP33" s="178"/>
      <c r="CQ33" s="178"/>
      <c r="CR33" s="178"/>
      <c r="CS33" s="22"/>
    </row>
    <row r="34" spans="1:103" ht="15" customHeight="1" x14ac:dyDescent="0.2">
      <c r="A34" s="301"/>
      <c r="B34" s="302"/>
      <c r="C34" s="302"/>
      <c r="D34" s="302"/>
      <c r="E34" s="302"/>
      <c r="F34" s="302"/>
      <c r="G34" s="302"/>
      <c r="H34" s="302"/>
      <c r="I34" s="302"/>
      <c r="J34" s="302"/>
      <c r="K34" s="302"/>
      <c r="L34" s="302"/>
      <c r="M34" s="302"/>
      <c r="N34" s="302"/>
      <c r="O34" s="303"/>
      <c r="CF34" s="11"/>
      <c r="CG34" s="11"/>
      <c r="CH34" s="11"/>
      <c r="CI34" s="11"/>
      <c r="CJ34" s="11"/>
      <c r="CK34" s="11"/>
      <c r="CL34" s="3"/>
      <c r="CM34" s="3"/>
    </row>
    <row r="35" spans="1:103" ht="15" customHeight="1" x14ac:dyDescent="0.2">
      <c r="A35" s="4"/>
      <c r="O35" s="27"/>
      <c r="Q35" s="298" t="s">
        <v>106</v>
      </c>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300"/>
      <c r="BL35" s="298" t="s">
        <v>107</v>
      </c>
      <c r="BM35" s="299"/>
      <c r="BN35" s="299"/>
      <c r="BO35" s="299"/>
      <c r="BP35" s="299"/>
      <c r="BQ35" s="299"/>
      <c r="BR35" s="299"/>
      <c r="BS35" s="299"/>
      <c r="BT35" s="299"/>
      <c r="BU35" s="299"/>
      <c r="BV35" s="299"/>
      <c r="BW35" s="299"/>
      <c r="BX35" s="299"/>
      <c r="BY35" s="299"/>
      <c r="BZ35" s="299"/>
      <c r="CA35" s="299"/>
      <c r="CB35" s="299"/>
      <c r="CC35" s="299"/>
      <c r="CD35" s="300"/>
      <c r="CE35" s="3"/>
      <c r="CF35" s="11"/>
      <c r="CG35" s="11"/>
      <c r="CH35" s="11"/>
      <c r="CI35" s="11"/>
      <c r="CJ35" s="11"/>
      <c r="CK35" s="11"/>
      <c r="CL35" s="3"/>
      <c r="CM35" s="3"/>
    </row>
    <row r="36" spans="1:103" ht="15" customHeight="1" x14ac:dyDescent="0.2">
      <c r="A36" s="4"/>
      <c r="B36" s="39" t="s">
        <v>108</v>
      </c>
      <c r="C36" s="39"/>
      <c r="D36" s="39"/>
      <c r="E36" s="39"/>
      <c r="F36" s="39"/>
      <c r="G36" s="39"/>
      <c r="H36" s="39"/>
      <c r="I36" s="40"/>
      <c r="J36" s="250">
        <f>IFERROR(VLOOKUP(H30,CG39:CO72,2,FALSE),"")</f>
        <v>430</v>
      </c>
      <c r="K36" s="250"/>
      <c r="L36" s="250"/>
      <c r="M36" s="40"/>
      <c r="N36" s="177" t="s">
        <v>91</v>
      </c>
      <c r="O36" s="27"/>
      <c r="Q36" s="301"/>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3"/>
      <c r="BL36" s="301"/>
      <c r="BM36" s="302"/>
      <c r="BN36" s="302"/>
      <c r="BO36" s="302"/>
      <c r="BP36" s="302"/>
      <c r="BQ36" s="302"/>
      <c r="BR36" s="302"/>
      <c r="BS36" s="302"/>
      <c r="BT36" s="302"/>
      <c r="BU36" s="302"/>
      <c r="BV36" s="302"/>
      <c r="BW36" s="302"/>
      <c r="BX36" s="302"/>
      <c r="BY36" s="302"/>
      <c r="BZ36" s="302"/>
      <c r="CA36" s="302"/>
      <c r="CB36" s="302"/>
      <c r="CC36" s="302"/>
      <c r="CD36" s="303"/>
      <c r="CF36" s="11"/>
      <c r="CG36" s="11"/>
      <c r="CH36" s="11"/>
      <c r="CI36" s="11"/>
      <c r="CJ36" s="11"/>
      <c r="CK36" s="11"/>
    </row>
    <row r="37" spans="1:103" ht="15" customHeight="1" thickBot="1" x14ac:dyDescent="0.25">
      <c r="A37" s="4"/>
      <c r="B37" s="40"/>
      <c r="C37" s="40"/>
      <c r="D37" s="40"/>
      <c r="E37" s="40"/>
      <c r="F37" s="40"/>
      <c r="G37" s="40"/>
      <c r="H37" s="40"/>
      <c r="I37" s="40"/>
      <c r="J37" s="40"/>
      <c r="K37" s="40"/>
      <c r="L37" s="40"/>
      <c r="M37" s="40"/>
      <c r="N37" s="39"/>
      <c r="O37" s="27"/>
      <c r="Q37" s="4"/>
      <c r="BJ37" s="27"/>
      <c r="BL37" s="159"/>
      <c r="BM37" s="157"/>
      <c r="BN37" s="157"/>
      <c r="BO37" s="157"/>
      <c r="BP37" s="157"/>
      <c r="BQ37" s="157"/>
      <c r="BR37" s="157"/>
      <c r="BS37" s="157"/>
      <c r="BT37" s="157"/>
      <c r="BU37" s="157"/>
      <c r="BV37" s="157"/>
      <c r="BW37" s="157"/>
      <c r="BX37" s="157"/>
      <c r="BY37" s="157"/>
      <c r="BZ37" s="157"/>
      <c r="CA37" s="157"/>
      <c r="CB37" s="157"/>
      <c r="CC37" s="157"/>
      <c r="CD37" s="164"/>
      <c r="CF37" s="11"/>
      <c r="CG37" s="11"/>
      <c r="CH37" s="11"/>
      <c r="CI37" s="11"/>
      <c r="CJ37" s="11"/>
      <c r="CK37" s="11"/>
      <c r="CL37" s="3"/>
      <c r="CM37" s="3"/>
    </row>
    <row r="38" spans="1:103" ht="15" customHeight="1" thickBot="1" x14ac:dyDescent="0.3">
      <c r="A38" s="4"/>
      <c r="B38" s="39" t="s">
        <v>109</v>
      </c>
      <c r="C38" s="39"/>
      <c r="D38" s="39"/>
      <c r="E38" s="39"/>
      <c r="F38" s="40"/>
      <c r="G38" s="40"/>
      <c r="H38" s="40"/>
      <c r="I38" s="40"/>
      <c r="J38" s="250">
        <f>IFERROR(VLOOKUP(H30,CG39:CO72,3,FALSE),"")</f>
        <v>34.6</v>
      </c>
      <c r="K38" s="250"/>
      <c r="L38" s="250"/>
      <c r="M38" s="40"/>
      <c r="N38" s="177" t="s">
        <v>23</v>
      </c>
      <c r="O38" s="27"/>
      <c r="Q38" s="4"/>
      <c r="AJ38" s="81" t="s">
        <v>110</v>
      </c>
      <c r="BJ38" s="27"/>
      <c r="BL38" s="159"/>
      <c r="BM38" s="157"/>
      <c r="BN38" s="165" t="s">
        <v>111</v>
      </c>
      <c r="BO38" s="166" t="s">
        <v>112</v>
      </c>
      <c r="BP38" s="167"/>
      <c r="BQ38" s="157"/>
      <c r="BR38" s="157"/>
      <c r="BS38" s="167"/>
      <c r="BT38" s="167"/>
      <c r="BU38" s="157"/>
      <c r="BV38" s="157"/>
      <c r="BW38" s="157"/>
      <c r="BX38" s="157"/>
      <c r="BY38" s="157"/>
      <c r="BZ38" s="157"/>
      <c r="CA38" s="157"/>
      <c r="CB38" s="157"/>
      <c r="CC38" s="157"/>
      <c r="CD38" s="164"/>
      <c r="CF38" s="92" t="s">
        <v>113</v>
      </c>
      <c r="CG38" s="93" t="s">
        <v>114</v>
      </c>
      <c r="CH38" s="93" t="s">
        <v>115</v>
      </c>
      <c r="CI38" s="93" t="s">
        <v>116</v>
      </c>
      <c r="CJ38" s="93" t="s">
        <v>117</v>
      </c>
      <c r="CK38" s="93" t="s">
        <v>118</v>
      </c>
      <c r="CL38" s="93" t="s">
        <v>119</v>
      </c>
      <c r="CM38" s="93" t="s">
        <v>120</v>
      </c>
      <c r="CN38" s="93" t="s">
        <v>121</v>
      </c>
      <c r="CO38" s="94" t="s">
        <v>122</v>
      </c>
      <c r="CP38" s="95" t="s">
        <v>123</v>
      </c>
      <c r="CQ38" s="95" t="s">
        <v>123</v>
      </c>
      <c r="CR38" s="95" t="s">
        <v>124</v>
      </c>
    </row>
    <row r="39" spans="1:103" ht="15" customHeight="1" thickBot="1" x14ac:dyDescent="0.25">
      <c r="A39" s="4"/>
      <c r="B39" s="39" t="s">
        <v>125</v>
      </c>
      <c r="C39" s="39"/>
      <c r="D39" s="39"/>
      <c r="E39" s="39"/>
      <c r="F39" s="40"/>
      <c r="G39" s="40"/>
      <c r="H39" s="40"/>
      <c r="I39" s="40"/>
      <c r="J39" s="250">
        <f>IFERROR(VLOOKUP(H30,CG39:CO72,4,FALSE),"")</f>
        <v>12.43</v>
      </c>
      <c r="K39" s="250"/>
      <c r="L39" s="250"/>
      <c r="M39" s="40"/>
      <c r="N39" s="177" t="s">
        <v>69</v>
      </c>
      <c r="O39" s="27"/>
      <c r="Q39" s="4"/>
      <c r="AK39" s="348" t="s">
        <v>126</v>
      </c>
      <c r="AL39" s="349"/>
      <c r="AM39" s="352"/>
      <c r="AN39" s="353"/>
      <c r="AV39" s="221">
        <f>AT13</f>
        <v>0</v>
      </c>
      <c r="AW39" s="221"/>
      <c r="BJ39" s="27"/>
      <c r="BL39" s="159"/>
      <c r="BM39" s="157"/>
      <c r="BN39" s="176">
        <f>ROUNDDOWN(MIN(MIN(VLOOKUP($H$12,$CG$75:$CM$104,2,FALSE)*VLOOKUP($H$12,$CG$75:$CM$104,3,FALSE)*IF($H$11="SMILE B3",$F$12+1,$F$12)/1000,VLOOKUP($H$11,$CF$21:$CV$33,16,FALSE)*VLOOKUP($H$12,$CG$75:$CM$104,2,FALSE)/1000*IF(RIGHT($H$12,2)="-S",IF($H$11="SMILE B3",$F$12+1,$F$12),1)),VLOOKUP($H$11,$CF$21:$CV$33,14,FALSE)),1)</f>
        <v>5</v>
      </c>
      <c r="BO39" s="176">
        <f>ROUNDDOWN(MIN(MIN(VLOOKUP($H$12,$CG$75:$CM$104,2,FALSE)*VLOOKUP($H$12,$CG$75:$CM$104,3,FALSE)*IF($H$11="SMILE B3",$F$12+1,$F$12)/1000,VLOOKUP($H$11,$CF$21:$CV$33,16,FALSE)*VLOOKUP($H$12,$CG$75:$CM$104,2,FALSE)/1000*IF(RIGHT($H$12,2)="-S",IF($H$11="SMILE B3",$F$12+1,$F$12),1)),VLOOKUP($H$11,$CF$21:$CV$33,14,FALSE)),1)</f>
        <v>5</v>
      </c>
      <c r="BP39" s="157" t="s">
        <v>127</v>
      </c>
      <c r="BQ39" s="157"/>
      <c r="BR39" s="157"/>
      <c r="BS39" s="176"/>
      <c r="BT39" s="176"/>
      <c r="BU39" s="157"/>
      <c r="BV39" s="157"/>
      <c r="BW39" s="157"/>
      <c r="BX39" s="157"/>
      <c r="BY39" s="157"/>
      <c r="BZ39" s="157"/>
      <c r="CA39" s="157"/>
      <c r="CB39" s="157"/>
      <c r="CC39" s="157"/>
      <c r="CD39" s="164"/>
      <c r="CE39" s="3"/>
      <c r="CF39" s="96" t="str">
        <f>IF('PV-Panelen'!A2=0,"",'PV-Panelen'!A2)</f>
        <v>Montsol Black</v>
      </c>
      <c r="CG39" s="97" t="str">
        <f>IF('PV-Panelen'!B2=0,"",'PV-Panelen'!B2)</f>
        <v>DSN 430 (STC)</v>
      </c>
      <c r="CH39" s="97">
        <f>IF('PV-Panelen'!C2=0,"",'PV-Panelen'!C2)</f>
        <v>430</v>
      </c>
      <c r="CI39" s="97">
        <f>IF('PV-Panelen'!D2=0,"",'PV-Panelen'!D2)</f>
        <v>34.6</v>
      </c>
      <c r="CJ39" s="97">
        <f>IF('PV-Panelen'!E2=0,"",'PV-Panelen'!E2)</f>
        <v>12.43</v>
      </c>
      <c r="CK39" s="97">
        <f>IF('PV-Panelen'!F2=0,"",'PV-Panelen'!F2)</f>
        <v>40.869999999999997</v>
      </c>
      <c r="CL39" s="97">
        <f>IF('PV-Panelen'!G2=0,"",'PV-Panelen'!G2)</f>
        <v>12.95</v>
      </c>
      <c r="CM39" s="97">
        <f>IF('PV-Panelen'!H2=0,"",'PV-Panelen'!H2)</f>
        <v>-0.26</v>
      </c>
      <c r="CN39" s="97">
        <f>IF('PV-Panelen'!I2=0,"",'PV-Panelen'!I2)</f>
        <v>-0.24</v>
      </c>
      <c r="CO39" s="98">
        <f>IF('PV-Panelen'!J2=0,"",'PV-Panelen'!J2)</f>
        <v>0.04</v>
      </c>
      <c r="CP39" s="205" t="str">
        <f ca="1">'PV-Panelen'!L2</f>
        <v>Montsol Black</v>
      </c>
      <c r="CQ39" s="73" t="str" cm="1">
        <f t="array" ref="CQ39">IFERROR(INDEX($CG$39:$CG$72,SMALL(IF($CF$39:$CF$72=$H$29,ROW($1:$28)),CR39)),"")</f>
        <v>DSN 430 (STC)</v>
      </c>
      <c r="CR39" s="206">
        <v>1</v>
      </c>
    </row>
    <row r="40" spans="1:103" ht="15" customHeight="1" thickBot="1" x14ac:dyDescent="0.25">
      <c r="A40" s="4"/>
      <c r="B40" s="39" t="s">
        <v>128</v>
      </c>
      <c r="C40" s="39"/>
      <c r="D40" s="39"/>
      <c r="E40" s="39"/>
      <c r="F40" s="39"/>
      <c r="G40" s="39"/>
      <c r="H40" s="39"/>
      <c r="I40" s="40"/>
      <c r="J40" s="250">
        <f>IFERROR(VLOOKUP(H30,CG39:CO72,5,FALSE),"")</f>
        <v>40.869999999999997</v>
      </c>
      <c r="K40" s="250"/>
      <c r="L40" s="250"/>
      <c r="M40" s="40"/>
      <c r="N40" s="177" t="s">
        <v>23</v>
      </c>
      <c r="O40" s="27"/>
      <c r="Q40" s="4"/>
      <c r="AA40" s="35"/>
      <c r="AB40" s="35"/>
      <c r="AC40" s="48"/>
      <c r="AD40" s="278" t="s">
        <v>129</v>
      </c>
      <c r="AE40" s="279"/>
      <c r="AF40" s="280"/>
      <c r="AG40" s="35"/>
      <c r="AH40" s="35"/>
      <c r="AI40" s="35"/>
      <c r="AJ40" s="35"/>
      <c r="AK40" s="350"/>
      <c r="AL40" s="351"/>
      <c r="AM40" s="354"/>
      <c r="AN40" s="355"/>
      <c r="AO40" s="36"/>
      <c r="AP40" s="35"/>
      <c r="AQ40" s="35"/>
      <c r="AR40" s="235" t="s">
        <v>130</v>
      </c>
      <c r="AS40" s="236"/>
      <c r="AT40" s="237"/>
      <c r="AU40" s="35"/>
      <c r="AV40" s="222"/>
      <c r="AW40" s="222"/>
      <c r="AX40" s="34"/>
      <c r="AY40" s="235" t="s">
        <v>130</v>
      </c>
      <c r="AZ40" s="236"/>
      <c r="BA40" s="237"/>
      <c r="BJ40" s="27"/>
      <c r="BL40" s="159"/>
      <c r="BM40" s="157"/>
      <c r="BN40" s="176">
        <f>ROUNDDOWN(MIN(MIN(VLOOKUP($H$12,$CG$75:$CM$104,2,FALSE)*VLOOKUP($H$12,$CG$75:$CM$104,4,FALSE)*IF($H$11="SMILE B3",$F$12+1,$F$12)/1000,VLOOKUP($H$11,$CF$21:$CV$33,17,FALSE)*VLOOKUP($H$12,$CG$75:$CM$104,2,FALSE)/1000*IF(RIGHT($H$12,2)="-S",IF($H$11="SMILE B3",$F$12+1,$F$12),1)),VLOOKUP($H$11,$CF$21:$CV$33,14,FALSE)),1)</f>
        <v>5</v>
      </c>
      <c r="BO40" s="176">
        <f>ROUNDDOWN(MIN(MIN(VLOOKUP($H$12,$CG$75:$CM$104,2,FALSE)*VLOOKUP($H$12,$CG$75:$CM$104,4,FALSE)*IF($H$11="SMILE B3",$F$12+1,$F$12)/1000,VLOOKUP($H$11,$CF$21:$CV$33,17,FALSE)*VLOOKUP($H$12,$CG$75:$CM$104,2,FALSE)/1000*IF(RIGHT($H$12,2)="-S",IF($H$11="SMILE B3",$F$12+1,$F$12),1)),VLOOKUP($H$11,$CF$21:$CV$33,14,FALSE)),1)</f>
        <v>5</v>
      </c>
      <c r="BP40" s="157" t="s">
        <v>131</v>
      </c>
      <c r="BQ40" s="157"/>
      <c r="BR40" s="157"/>
      <c r="BS40" s="176"/>
      <c r="BT40" s="176"/>
      <c r="BU40" s="157"/>
      <c r="BV40" s="157"/>
      <c r="BW40" s="157"/>
      <c r="BX40" s="157"/>
      <c r="BY40" s="157"/>
      <c r="BZ40" s="157"/>
      <c r="CA40" s="157"/>
      <c r="CB40" s="157"/>
      <c r="CC40" s="157"/>
      <c r="CD40" s="164"/>
      <c r="CE40" s="3"/>
      <c r="CF40" s="99" t="str">
        <f>IF('PV-Panelen'!A3=0,"",'PV-Panelen'!A3)</f>
        <v>Montsol Black</v>
      </c>
      <c r="CG40" s="100" t="str">
        <f>IF('PV-Panelen'!B3=0,"",'PV-Panelen'!B3)</f>
        <v>DSN 435 (STC)</v>
      </c>
      <c r="CH40" s="100">
        <f>IF('PV-Panelen'!C3=0,"",'PV-Panelen'!C3)</f>
        <v>435</v>
      </c>
      <c r="CI40" s="100">
        <f>IF('PV-Panelen'!D3=0,"",'PV-Panelen'!D3)</f>
        <v>34.86</v>
      </c>
      <c r="CJ40" s="100">
        <f>IF('PV-Panelen'!E3=0,"",'PV-Panelen'!E3)</f>
        <v>12.48</v>
      </c>
      <c r="CK40" s="100">
        <f>IF('PV-Panelen'!F3=0,"",'PV-Panelen'!F3)</f>
        <v>41.14</v>
      </c>
      <c r="CL40" s="100">
        <f>IF('PV-Panelen'!G3=0,"",'PV-Panelen'!G3)</f>
        <v>13</v>
      </c>
      <c r="CM40" s="100">
        <f>IF('PV-Panelen'!H3=0,"",'PV-Panelen'!H3)</f>
        <v>-0.26</v>
      </c>
      <c r="CN40" s="100">
        <f>IF('PV-Panelen'!I3=0,"",'PV-Panelen'!I3)</f>
        <v>-0.24</v>
      </c>
      <c r="CO40" s="101">
        <f>IF('PV-Panelen'!J3=0,"",'PV-Panelen'!J3)</f>
        <v>0.04</v>
      </c>
      <c r="CP40" s="203" t="str">
        <f ca="1">'PV-Panelen'!L3</f>
        <v/>
      </c>
      <c r="CQ40" s="74" t="str" cm="1">
        <f t="array" ref="CQ40">IFERROR(INDEX($CG$39:$CG$72,SMALL(IF($CF$39:$CF$72=$H$29,ROW($1:$28)),CR40)),"")</f>
        <v>DSN 435 (STC)</v>
      </c>
      <c r="CR40" s="204">
        <v>2</v>
      </c>
    </row>
    <row r="41" spans="1:103" ht="15" customHeight="1" thickBot="1" x14ac:dyDescent="0.25">
      <c r="A41" s="4"/>
      <c r="B41" s="39" t="s">
        <v>132</v>
      </c>
      <c r="C41" s="39"/>
      <c r="D41" s="39"/>
      <c r="E41" s="39"/>
      <c r="F41" s="39"/>
      <c r="G41" s="39"/>
      <c r="H41" s="39"/>
      <c r="I41" s="40"/>
      <c r="J41" s="250">
        <f>IFERROR(VLOOKUP(H30,CG39:CO72,6,FALSE),"")</f>
        <v>12.95</v>
      </c>
      <c r="K41" s="250"/>
      <c r="L41" s="250"/>
      <c r="M41" s="40"/>
      <c r="N41" s="177" t="s">
        <v>69</v>
      </c>
      <c r="O41" s="27"/>
      <c r="Q41" s="4"/>
      <c r="Z41" s="49"/>
      <c r="AC41" s="45"/>
      <c r="AD41" s="281"/>
      <c r="AE41" s="282"/>
      <c r="AF41" s="283"/>
      <c r="AK41" s="356"/>
      <c r="AL41" s="354"/>
      <c r="AM41" s="351" t="s">
        <v>133</v>
      </c>
      <c r="AN41" s="359"/>
      <c r="AR41" s="238"/>
      <c r="AS41" s="239"/>
      <c r="AT41" s="240"/>
      <c r="AY41" s="238"/>
      <c r="AZ41" s="239"/>
      <c r="BA41" s="240"/>
      <c r="BJ41" s="27"/>
      <c r="BL41" s="159"/>
      <c r="BM41" s="157"/>
      <c r="BN41" s="176">
        <v>0</v>
      </c>
      <c r="BO41" s="176">
        <f>ROUNDDOWN(MIN(MIN(VLOOKUP($H$12,$CG$75:$CM$104,2,FALSE)*VLOOKUP($H$12,$CG$75:$CM$104,4,FALSE)*IF($H$11="SMILE B3",$F$12+1,$F$12)/1000,VLOOKUP($H$11,$CF$21:$CX$33,17,FALSE)*VLOOKUP($H$12,$CG$75:$CM$104,2,FALSE)/1000*IF(RIGHT($H$12,2)="-S",IF($H$11="SMILE B3",$F$12+1,$F$12),1)),VLOOKUP($H$11,$CF$21:$CX$33,19,FALSE)),1)</f>
        <v>5</v>
      </c>
      <c r="BP41" s="157" t="s">
        <v>134</v>
      </c>
      <c r="BQ41" s="157"/>
      <c r="BR41" s="157"/>
      <c r="BS41" s="157"/>
      <c r="BT41" s="157"/>
      <c r="BU41" s="157"/>
      <c r="BV41" s="157"/>
      <c r="BW41" s="157"/>
      <c r="BX41" s="157"/>
      <c r="BY41" s="157"/>
      <c r="BZ41" s="157"/>
      <c r="CA41" s="157"/>
      <c r="CB41" s="157"/>
      <c r="CC41" s="157"/>
      <c r="CD41" s="164"/>
      <c r="CF41" s="102" t="str">
        <f>IF('PV-Panelen'!A4=0,"",'PV-Panelen'!A4)</f>
        <v>Montsol Black</v>
      </c>
      <c r="CG41" s="103" t="str">
        <f>IF('PV-Panelen'!B4=0,"",'PV-Panelen'!B4)</f>
        <v>DSN 440 (STC)</v>
      </c>
      <c r="CH41" s="103">
        <f>IF('PV-Panelen'!C4=0,"",'PV-Panelen'!C4)</f>
        <v>440</v>
      </c>
      <c r="CI41" s="103">
        <f>IF('PV-Panelen'!D4=0,"",'PV-Panelen'!D4)</f>
        <v>35.119999999999997</v>
      </c>
      <c r="CJ41" s="103">
        <f>IF('PV-Panelen'!E4=0,"",'PV-Panelen'!E4)</f>
        <v>12.53</v>
      </c>
      <c r="CK41" s="103">
        <f>IF('PV-Panelen'!F4=0,"",'PV-Panelen'!F4)</f>
        <v>41.41</v>
      </c>
      <c r="CL41" s="103">
        <f>IF('PV-Panelen'!G4=0,"",'PV-Panelen'!G4)</f>
        <v>13.05</v>
      </c>
      <c r="CM41" s="103">
        <f>IF('PV-Panelen'!H4=0,"",'PV-Panelen'!H4)</f>
        <v>-0.26</v>
      </c>
      <c r="CN41" s="103">
        <f>IF('PV-Panelen'!I4=0,"",'PV-Panelen'!I4)</f>
        <v>-0.24</v>
      </c>
      <c r="CO41" s="104">
        <f>IF('PV-Panelen'!J4=0,"",'PV-Panelen'!J4)</f>
        <v>0.04</v>
      </c>
      <c r="CP41" s="203" t="str">
        <f ca="1">'PV-Panelen'!L4</f>
        <v/>
      </c>
      <c r="CQ41" s="74" t="str" cm="1">
        <f t="array" ref="CQ41">IFERROR(INDEX($CG$39:$CG$72,SMALL(IF($CF$39:$CF$72=$H$29,ROW($1:$28)),CR41)),"")</f>
        <v>DSN 440 (STC)</v>
      </c>
      <c r="CR41" s="204">
        <v>3</v>
      </c>
    </row>
    <row r="42" spans="1:103" ht="15" customHeight="1" thickBot="1" x14ac:dyDescent="0.25">
      <c r="A42" s="4"/>
      <c r="B42" s="39"/>
      <c r="C42" s="39"/>
      <c r="D42" s="39"/>
      <c r="E42" s="39"/>
      <c r="F42" s="39"/>
      <c r="G42" s="39"/>
      <c r="H42" s="39"/>
      <c r="I42" s="40"/>
      <c r="J42" s="39"/>
      <c r="K42" s="39"/>
      <c r="L42" s="39"/>
      <c r="M42" s="40"/>
      <c r="N42" s="39"/>
      <c r="O42" s="27"/>
      <c r="Q42" s="4"/>
      <c r="Z42" s="49"/>
      <c r="AE42" s="50"/>
      <c r="AK42" s="357"/>
      <c r="AL42" s="358"/>
      <c r="AM42" s="360"/>
      <c r="AN42" s="361"/>
      <c r="BJ42" s="27"/>
      <c r="BL42" s="159"/>
      <c r="BM42" s="157"/>
      <c r="BN42" s="157"/>
      <c r="BO42" s="157"/>
      <c r="BP42" s="157"/>
      <c r="BQ42" s="157"/>
      <c r="BR42" s="157"/>
      <c r="BS42" s="157"/>
      <c r="BT42" s="157"/>
      <c r="BU42" s="157"/>
      <c r="BV42" s="157"/>
      <c r="BW42" s="157"/>
      <c r="BX42" s="157"/>
      <c r="BY42" s="157"/>
      <c r="BZ42" s="157"/>
      <c r="CA42" s="157"/>
      <c r="CB42" s="157"/>
      <c r="CC42" s="157"/>
      <c r="CD42" s="164"/>
      <c r="CE42" s="3"/>
      <c r="CF42" s="99" t="str">
        <f>IF('PV-Panelen'!A5=0,"",'PV-Panelen'!A5)</f>
        <v>Montsol Black</v>
      </c>
      <c r="CG42" s="100" t="str">
        <f>IF('PV-Panelen'!B5=0,"",'PV-Panelen'!B5)</f>
        <v>DSN 445 (STC)</v>
      </c>
      <c r="CH42" s="100">
        <f>IF('PV-Panelen'!C5=0,"",'PV-Panelen'!C5)</f>
        <v>445</v>
      </c>
      <c r="CI42" s="100">
        <f>IF('PV-Panelen'!D5=0,"",'PV-Panelen'!D5)</f>
        <v>35.380000000000003</v>
      </c>
      <c r="CJ42" s="100">
        <f>IF('PV-Panelen'!E5=0,"",'PV-Panelen'!E5)</f>
        <v>12.58</v>
      </c>
      <c r="CK42" s="100">
        <f>IF('PV-Panelen'!F5=0,"",'PV-Panelen'!F5)</f>
        <v>41.68</v>
      </c>
      <c r="CL42" s="100">
        <f>IF('PV-Panelen'!G5=0,"",'PV-Panelen'!G5)</f>
        <v>13.1</v>
      </c>
      <c r="CM42" s="100">
        <f>IF('PV-Panelen'!H5=0,"",'PV-Panelen'!H5)</f>
        <v>-0.26</v>
      </c>
      <c r="CN42" s="100">
        <f>IF('PV-Panelen'!I5=0,"",'PV-Panelen'!I5)</f>
        <v>-0.24</v>
      </c>
      <c r="CO42" s="101">
        <f>IF('PV-Panelen'!J5=0,"",'PV-Panelen'!J5)</f>
        <v>0.04</v>
      </c>
      <c r="CP42" s="203" t="str">
        <f ca="1">'PV-Panelen'!L5</f>
        <v/>
      </c>
      <c r="CQ42" s="74" t="str" cm="1">
        <f t="array" ref="CQ42">IFERROR(INDEX($CG$39:$CG$72,SMALL(IF($CF$39:$CF$72=$H$29,ROW($1:$28)),CR42)),"")</f>
        <v>DSN 445 (STC)</v>
      </c>
      <c r="CR42" s="204">
        <v>4</v>
      </c>
    </row>
    <row r="43" spans="1:103" s="40" customFormat="1" ht="15" customHeight="1" x14ac:dyDescent="0.2">
      <c r="A43" s="86"/>
      <c r="B43" s="193" t="s">
        <v>135</v>
      </c>
      <c r="C43" s="39"/>
      <c r="D43" s="39"/>
      <c r="E43" s="39"/>
      <c r="F43" s="39"/>
      <c r="G43" s="39"/>
      <c r="H43" s="39"/>
      <c r="J43" s="39"/>
      <c r="K43" s="39"/>
      <c r="L43" s="39"/>
      <c r="N43" s="39"/>
      <c r="O43" s="87"/>
      <c r="Q43" s="86"/>
      <c r="Z43" s="88"/>
      <c r="AE43" s="89"/>
      <c r="BJ43" s="87"/>
      <c r="BL43" s="160"/>
      <c r="BM43" s="157"/>
      <c r="BN43" s="304">
        <f>BN39</f>
        <v>5</v>
      </c>
      <c r="BO43" s="304"/>
      <c r="BP43" s="304"/>
      <c r="BQ43" s="304"/>
      <c r="BR43" s="304">
        <f>BO39</f>
        <v>5</v>
      </c>
      <c r="BS43" s="304"/>
      <c r="BT43" s="304"/>
      <c r="BU43" s="304"/>
      <c r="BV43" s="157"/>
      <c r="BW43" s="157"/>
      <c r="BX43" s="157"/>
      <c r="BY43" s="157"/>
      <c r="BZ43" s="157"/>
      <c r="CA43" s="157"/>
      <c r="CB43" s="157"/>
      <c r="CC43" s="157"/>
      <c r="CD43" s="168"/>
      <c r="CF43" s="102" t="str">
        <f>IF('PV-Panelen'!A6=0,"",'PV-Panelen'!A6)</f>
        <v>Montsol Black</v>
      </c>
      <c r="CG43" s="103" t="str">
        <f>IF('PV-Panelen'!B6=0,"",'PV-Panelen'!B6)</f>
        <v>DSN 450 (STC)</v>
      </c>
      <c r="CH43" s="103">
        <f>IF('PV-Panelen'!C6=0,"",'PV-Panelen'!C6)</f>
        <v>450</v>
      </c>
      <c r="CI43" s="103">
        <f>IF('PV-Panelen'!D6=0,"",'PV-Panelen'!D6)</f>
        <v>35.630000000000003</v>
      </c>
      <c r="CJ43" s="103">
        <f>IF('PV-Panelen'!E6=0,"",'PV-Panelen'!E6)</f>
        <v>12.63</v>
      </c>
      <c r="CK43" s="103">
        <f>IF('PV-Panelen'!F6=0,"",'PV-Panelen'!F6)</f>
        <v>41.94</v>
      </c>
      <c r="CL43" s="103">
        <f>IF('PV-Panelen'!G6=0,"",'PV-Panelen'!G6)</f>
        <v>13.15</v>
      </c>
      <c r="CM43" s="103">
        <f>IF('PV-Panelen'!H6=0,"",'PV-Panelen'!H6)</f>
        <v>-0.26</v>
      </c>
      <c r="CN43" s="103">
        <f>IF('PV-Panelen'!I6=0,"",'PV-Panelen'!I6)</f>
        <v>-0.24</v>
      </c>
      <c r="CO43" s="104">
        <f>IF('PV-Panelen'!J6=0,"",'PV-Panelen'!J6)</f>
        <v>0.04</v>
      </c>
      <c r="CP43" s="203" t="str">
        <f ca="1">'PV-Panelen'!L6</f>
        <v/>
      </c>
      <c r="CQ43" s="74" t="str" cm="1">
        <f t="array" ref="CQ43">IFERROR(INDEX($CG$39:$CG$72,SMALL(IF($CF$39:$CF$72=$H$29,ROW($1:$28)),CR43)),"")</f>
        <v>DSN 450 (STC)</v>
      </c>
      <c r="CR43" s="204">
        <v>5</v>
      </c>
      <c r="CS43" s="1"/>
      <c r="CT43" s="1"/>
      <c r="CU43" s="1"/>
      <c r="CV43" s="1"/>
      <c r="CY43" s="1"/>
    </row>
    <row r="44" spans="1:103" ht="15" customHeight="1" x14ac:dyDescent="0.2">
      <c r="A44" s="4"/>
      <c r="B44" s="39"/>
      <c r="C44" s="39"/>
      <c r="D44" s="39"/>
      <c r="E44" s="39"/>
      <c r="F44" s="39"/>
      <c r="G44" s="39"/>
      <c r="H44" s="39"/>
      <c r="I44" s="40"/>
      <c r="J44" s="39"/>
      <c r="K44" s="39"/>
      <c r="L44" s="39"/>
      <c r="M44" s="40"/>
      <c r="N44" s="39"/>
      <c r="O44" s="27"/>
      <c r="Q44" s="4"/>
      <c r="Z44" s="49"/>
      <c r="AE44" s="50"/>
      <c r="AJ44" s="82" t="str">
        <f>H11</f>
        <v>SMILE-G3-S5</v>
      </c>
      <c r="AM44" s="40"/>
      <c r="BJ44" s="27"/>
      <c r="BL44" s="159"/>
      <c r="BM44" s="157"/>
      <c r="BN44" s="304">
        <f>BN40</f>
        <v>5</v>
      </c>
      <c r="BO44" s="304"/>
      <c r="BP44" s="304"/>
      <c r="BQ44" s="304"/>
      <c r="BR44" s="304">
        <f>BO40</f>
        <v>5</v>
      </c>
      <c r="BS44" s="304"/>
      <c r="BT44" s="304"/>
      <c r="BU44" s="304"/>
      <c r="BV44" s="157"/>
      <c r="BW44" s="157"/>
      <c r="BX44" s="157"/>
      <c r="BY44" s="157"/>
      <c r="BZ44" s="157"/>
      <c r="CA44" s="157"/>
      <c r="CB44" s="157"/>
      <c r="CC44" s="157"/>
      <c r="CD44" s="164"/>
      <c r="CF44" s="99" t="str">
        <f>IF('PV-Panelen'!A7=0,"",'PV-Panelen'!A7)</f>
        <v>Montsol Black</v>
      </c>
      <c r="CG44" s="100" t="str">
        <f>IF('PV-Panelen'!B7=0,"",'PV-Panelen'!B7)</f>
        <v>DSN 430 (BSTC)</v>
      </c>
      <c r="CH44" s="100">
        <f>IF('PV-Panelen'!C7=0,"",'PV-Panelen'!C7)</f>
        <v>480</v>
      </c>
      <c r="CI44" s="100">
        <f>IF('PV-Panelen'!D7=0,"",'PV-Panelen'!D7)</f>
        <v>34.6</v>
      </c>
      <c r="CJ44" s="100">
        <f>IF('PV-Panelen'!E7=0,"",'PV-Panelen'!E7)</f>
        <v>13.88</v>
      </c>
      <c r="CK44" s="100">
        <f>IF('PV-Panelen'!F7=0,"",'PV-Panelen'!F7)</f>
        <v>40.869999999999997</v>
      </c>
      <c r="CL44" s="100">
        <f>IF('PV-Panelen'!G7=0,"",'PV-Panelen'!G7)</f>
        <v>14.46</v>
      </c>
      <c r="CM44" s="100">
        <f>IF('PV-Panelen'!H7=0,"",'PV-Panelen'!H7)</f>
        <v>-0.26</v>
      </c>
      <c r="CN44" s="100">
        <f>IF('PV-Panelen'!I7=0,"",'PV-Panelen'!I7)</f>
        <v>-0.24</v>
      </c>
      <c r="CO44" s="101">
        <f>IF('PV-Panelen'!J7=0,"",'PV-Panelen'!J7)</f>
        <v>0.04</v>
      </c>
      <c r="CP44" s="203" t="str">
        <f ca="1">'PV-Panelen'!L7</f>
        <v/>
      </c>
      <c r="CQ44" s="74" t="str" cm="1">
        <f t="array" ref="CQ44">IFERROR(INDEX($CG$39:$CG$72,SMALL(IF($CF$39:$CF$72=$H$29,ROW($1:$28)),CR44)),"")</f>
        <v>DSN 430 (BSTC)</v>
      </c>
      <c r="CR44" s="204">
        <v>6</v>
      </c>
      <c r="CS44" s="40"/>
      <c r="CT44" s="40"/>
      <c r="CU44" s="40"/>
      <c r="CV44" s="40"/>
    </row>
    <row r="45" spans="1:103" ht="15" customHeight="1" thickBot="1" x14ac:dyDescent="0.25">
      <c r="A45" s="4"/>
      <c r="B45" s="39" t="s">
        <v>136</v>
      </c>
      <c r="C45" s="39"/>
      <c r="D45" s="39"/>
      <c r="E45" s="39"/>
      <c r="F45" s="39"/>
      <c r="G45" s="39"/>
      <c r="H45" s="39"/>
      <c r="I45" s="40"/>
      <c r="J45" s="250">
        <f>IFERROR(VLOOKUP(H30,CG39:CO72,7,FALSE),"")</f>
        <v>-0.26</v>
      </c>
      <c r="K45" s="250"/>
      <c r="L45" s="250"/>
      <c r="M45" s="40"/>
      <c r="N45" s="177" t="s">
        <v>137</v>
      </c>
      <c r="O45" s="27"/>
      <c r="Q45" s="4"/>
      <c r="R45" s="218" t="s">
        <v>138</v>
      </c>
      <c r="W45" s="53"/>
      <c r="X45" s="53"/>
      <c r="Y45" s="53"/>
      <c r="Z45" s="76"/>
      <c r="AA45" s="53"/>
      <c r="AB45" s="53"/>
      <c r="AC45" s="53"/>
      <c r="AD45" s="53"/>
      <c r="AE45" s="54"/>
      <c r="AF45" s="53"/>
      <c r="AG45" s="53"/>
      <c r="AH45" s="54"/>
      <c r="AI45" s="55"/>
      <c r="AJ45" s="56"/>
      <c r="AK45" s="56"/>
      <c r="AL45" s="56"/>
      <c r="AM45" s="56"/>
      <c r="AN45" s="56"/>
      <c r="AO45" s="56"/>
      <c r="AP45" s="56"/>
      <c r="AQ45" s="56"/>
      <c r="AR45" s="56"/>
      <c r="AS45" s="56"/>
      <c r="AT45" s="56"/>
      <c r="AU45" s="56"/>
      <c r="AV45" s="57"/>
      <c r="BD45" s="221">
        <f>AS21</f>
        <v>10</v>
      </c>
      <c r="BE45" s="221"/>
      <c r="BJ45" s="27"/>
      <c r="BL45" s="159"/>
      <c r="BM45" s="157"/>
      <c r="BN45" s="157"/>
      <c r="BO45" s="157"/>
      <c r="BP45" s="157"/>
      <c r="BQ45" s="157"/>
      <c r="BR45" s="157"/>
      <c r="BS45" s="157"/>
      <c r="BT45" s="157"/>
      <c r="BU45" s="157"/>
      <c r="BV45" s="157"/>
      <c r="BW45" s="157"/>
      <c r="BX45" s="157"/>
      <c r="BY45" s="157"/>
      <c r="BZ45" s="157"/>
      <c r="CA45" s="157"/>
      <c r="CB45" s="157"/>
      <c r="CC45" s="157"/>
      <c r="CD45" s="164"/>
      <c r="CF45" s="102" t="str">
        <f>IF('PV-Panelen'!A8=0,"",'PV-Panelen'!A8)</f>
        <v>Montsol Black</v>
      </c>
      <c r="CG45" s="103" t="str">
        <f>IF('PV-Panelen'!B8=0,"",'PV-Panelen'!B8)</f>
        <v>DSN 435 (BSTC)</v>
      </c>
      <c r="CH45" s="103">
        <f>IF('PV-Panelen'!C8=0,"",'PV-Panelen'!C8)</f>
        <v>485</v>
      </c>
      <c r="CI45" s="103">
        <f>IF('PV-Panelen'!D8=0,"",'PV-Panelen'!D8)</f>
        <v>34.86</v>
      </c>
      <c r="CJ45" s="103">
        <f>IF('PV-Panelen'!E8=0,"",'PV-Panelen'!E8)</f>
        <v>13.92</v>
      </c>
      <c r="CK45" s="103">
        <f>IF('PV-Panelen'!F8=0,"",'PV-Panelen'!F8)</f>
        <v>41.14</v>
      </c>
      <c r="CL45" s="103">
        <f>IF('PV-Panelen'!G8=0,"",'PV-Panelen'!G8)</f>
        <v>14.49</v>
      </c>
      <c r="CM45" s="103">
        <f>IF('PV-Panelen'!H8=0,"",'PV-Panelen'!H8)</f>
        <v>-0.26</v>
      </c>
      <c r="CN45" s="103">
        <f>IF('PV-Panelen'!I8=0,"",'PV-Panelen'!I8)</f>
        <v>-0.24</v>
      </c>
      <c r="CO45" s="104">
        <f>IF('PV-Panelen'!J8=0,"",'PV-Panelen'!J8)</f>
        <v>0.04</v>
      </c>
      <c r="CP45" s="203" t="str">
        <f ca="1">'PV-Panelen'!L8</f>
        <v/>
      </c>
      <c r="CQ45" s="74" t="str" cm="1">
        <f t="array" ref="CQ45">IFERROR(INDEX($CG$39:$CG$72,SMALL(IF($CF$39:$CF$72=$H$29,ROW($1:$28)),CR45)),"")</f>
        <v>DSN 435 (BSTC)</v>
      </c>
      <c r="CR45" s="204">
        <v>7</v>
      </c>
    </row>
    <row r="46" spans="1:103" ht="15" customHeight="1" thickBot="1" x14ac:dyDescent="0.25">
      <c r="A46" s="4"/>
      <c r="B46" s="39" t="s">
        <v>128</v>
      </c>
      <c r="C46" s="40"/>
      <c r="D46" s="40"/>
      <c r="E46" s="40"/>
      <c r="F46" s="40"/>
      <c r="G46" s="40"/>
      <c r="H46" s="40"/>
      <c r="I46" s="40"/>
      <c r="J46" s="250">
        <f>IFERROR(VLOOKUP(H30,CG39:CO72,8,FALSE),"")</f>
        <v>-0.24</v>
      </c>
      <c r="K46" s="250"/>
      <c r="L46" s="250"/>
      <c r="M46" s="40"/>
      <c r="N46" s="177" t="s">
        <v>137</v>
      </c>
      <c r="O46" s="27"/>
      <c r="Q46" s="4"/>
      <c r="R46" s="218"/>
      <c r="V46" s="50"/>
      <c r="Z46" s="49"/>
      <c r="AI46" s="58"/>
      <c r="AJ46" s="59"/>
      <c r="AK46" s="348" t="s">
        <v>126</v>
      </c>
      <c r="AL46" s="349"/>
      <c r="AM46" s="352"/>
      <c r="AN46" s="353"/>
      <c r="AO46" s="60"/>
      <c r="AP46" s="61"/>
      <c r="AQ46" s="62"/>
      <c r="AR46" s="273" t="s">
        <v>139</v>
      </c>
      <c r="AS46" s="274"/>
      <c r="AT46" s="227">
        <v>1</v>
      </c>
      <c r="AU46" s="228"/>
      <c r="AV46" s="63"/>
      <c r="AW46" s="52"/>
      <c r="AX46" s="35"/>
      <c r="AY46" s="48"/>
      <c r="AZ46" s="235" t="s">
        <v>130</v>
      </c>
      <c r="BA46" s="236"/>
      <c r="BB46" s="237"/>
      <c r="BC46" s="35"/>
      <c r="BD46" s="222"/>
      <c r="BE46" s="222"/>
      <c r="BF46" s="34"/>
      <c r="BG46" s="235" t="s">
        <v>130</v>
      </c>
      <c r="BH46" s="236"/>
      <c r="BI46" s="237"/>
      <c r="BJ46" s="27"/>
      <c r="BL46" s="159"/>
      <c r="BM46" s="157"/>
      <c r="BN46" s="157"/>
      <c r="BO46" s="157"/>
      <c r="BP46" s="157"/>
      <c r="BQ46" s="157"/>
      <c r="BR46" s="157"/>
      <c r="BS46" s="157"/>
      <c r="BT46" s="157"/>
      <c r="BU46" s="157"/>
      <c r="BV46" s="157"/>
      <c r="BW46" s="157"/>
      <c r="BX46" s="157"/>
      <c r="BY46" s="157"/>
      <c r="BZ46" s="157"/>
      <c r="CA46" s="157"/>
      <c r="CB46" s="157"/>
      <c r="CC46" s="157"/>
      <c r="CD46" s="164"/>
      <c r="CF46" s="99" t="str">
        <f>IF('PV-Panelen'!A9=0,"",'PV-Panelen'!A9)</f>
        <v>Montsol Black</v>
      </c>
      <c r="CG46" s="100" t="str">
        <f>IF('PV-Panelen'!B9=0,"",'PV-Panelen'!B9)</f>
        <v>DSN 440 (BSTC)</v>
      </c>
      <c r="CH46" s="100">
        <f>IF('PV-Panelen'!C9=0,"",'PV-Panelen'!C9)</f>
        <v>490</v>
      </c>
      <c r="CI46" s="100">
        <f>IF('PV-Panelen'!D9=0,"",'PV-Panelen'!D9)</f>
        <v>35.119999999999997</v>
      </c>
      <c r="CJ46" s="100">
        <f>IF('PV-Panelen'!E9=0,"",'PV-Panelen'!E9)</f>
        <v>13.96</v>
      </c>
      <c r="CK46" s="100">
        <f>IF('PV-Panelen'!F9=0,"",'PV-Panelen'!F9)</f>
        <v>41.41</v>
      </c>
      <c r="CL46" s="100">
        <f>IF('PV-Panelen'!G9=0,"",'PV-Panelen'!G9)</f>
        <v>14.53</v>
      </c>
      <c r="CM46" s="100">
        <f>IF('PV-Panelen'!H9=0,"",'PV-Panelen'!H9)</f>
        <v>-0.26</v>
      </c>
      <c r="CN46" s="100">
        <f>IF('PV-Panelen'!I9=0,"",'PV-Panelen'!I9)</f>
        <v>-0.24</v>
      </c>
      <c r="CO46" s="101">
        <f>IF('PV-Panelen'!J9=0,"",'PV-Panelen'!J9)</f>
        <v>0.04</v>
      </c>
      <c r="CP46" s="203" t="str">
        <f ca="1">'PV-Panelen'!L9</f>
        <v/>
      </c>
      <c r="CQ46" s="74" t="str" cm="1">
        <f t="array" ref="CQ46">IFERROR(INDEX($CG$39:$CG$72,SMALL(IF($CF$39:$CF$72=$H$29,ROW($1:$28)),CR46)),"")</f>
        <v>DSN 440 (BSTC)</v>
      </c>
      <c r="CR46" s="204">
        <v>8</v>
      </c>
    </row>
    <row r="47" spans="1:103" ht="15" customHeight="1" thickBot="1" x14ac:dyDescent="0.25">
      <c r="A47" s="4"/>
      <c r="B47" s="39" t="s">
        <v>132</v>
      </c>
      <c r="C47" s="39"/>
      <c r="D47" s="39"/>
      <c r="E47" s="39"/>
      <c r="F47" s="39"/>
      <c r="G47" s="39"/>
      <c r="H47" s="39"/>
      <c r="I47" s="40"/>
      <c r="J47" s="250">
        <f>IFERROR(VLOOKUP(H30,CG39:CO72,9,FALSE),"")</f>
        <v>0.04</v>
      </c>
      <c r="K47" s="250"/>
      <c r="L47" s="250"/>
      <c r="M47" s="40"/>
      <c r="N47" s="177" t="s">
        <v>137</v>
      </c>
      <c r="O47" s="27"/>
      <c r="Q47" s="4"/>
      <c r="R47" s="218"/>
      <c r="S47" s="35"/>
      <c r="T47" s="35"/>
      <c r="U47" s="278" t="s">
        <v>140</v>
      </c>
      <c r="V47" s="279"/>
      <c r="W47" s="280"/>
      <c r="X47" s="35"/>
      <c r="Y47" s="35"/>
      <c r="Z47" s="48"/>
      <c r="AA47" s="35"/>
      <c r="AB47" s="35"/>
      <c r="AC47" s="35"/>
      <c r="AD47" s="35"/>
      <c r="AE47" s="35"/>
      <c r="AF47" s="35"/>
      <c r="AG47" s="35"/>
      <c r="AH47" s="35"/>
      <c r="AI47" s="64"/>
      <c r="AJ47" s="62"/>
      <c r="AK47" s="350"/>
      <c r="AL47" s="351"/>
      <c r="AM47" s="354"/>
      <c r="AN47" s="355"/>
      <c r="AO47" s="59"/>
      <c r="AP47" s="59"/>
      <c r="AQ47" s="59"/>
      <c r="AR47" s="275"/>
      <c r="AS47" s="276"/>
      <c r="AT47" s="229"/>
      <c r="AU47" s="230"/>
      <c r="AV47" s="65"/>
      <c r="AW47" s="231">
        <f>BC21</f>
        <v>1</v>
      </c>
      <c r="AX47" s="232"/>
      <c r="AZ47" s="238"/>
      <c r="BA47" s="239"/>
      <c r="BB47" s="240"/>
      <c r="BG47" s="238"/>
      <c r="BH47" s="239"/>
      <c r="BI47" s="240"/>
      <c r="BJ47" s="27"/>
      <c r="BL47" s="159"/>
      <c r="BM47" s="157"/>
      <c r="BN47" s="157"/>
      <c r="BO47" s="157"/>
      <c r="BP47" s="157"/>
      <c r="BQ47" s="157"/>
      <c r="BR47" s="157"/>
      <c r="BS47" s="157"/>
      <c r="BT47" s="157"/>
      <c r="BU47" s="157"/>
      <c r="BV47" s="157"/>
      <c r="BW47" s="157"/>
      <c r="BX47" s="157"/>
      <c r="BY47" s="157"/>
      <c r="BZ47" s="157"/>
      <c r="CA47" s="157"/>
      <c r="CB47" s="157"/>
      <c r="CC47" s="157"/>
      <c r="CD47" s="164"/>
      <c r="CF47" s="102" t="str">
        <f>IF('PV-Panelen'!A10=0,"",'PV-Panelen'!A10)</f>
        <v>Montsol Black</v>
      </c>
      <c r="CG47" s="103" t="str">
        <f>IF('PV-Panelen'!B10=0,"",'PV-Panelen'!B10)</f>
        <v>DSN 445 (BSTC)</v>
      </c>
      <c r="CH47" s="103">
        <f>IF('PV-Panelen'!C10=0,"",'PV-Panelen'!C10)</f>
        <v>495</v>
      </c>
      <c r="CI47" s="103">
        <f>IF('PV-Panelen'!D10=0,"",'PV-Panelen'!D10)</f>
        <v>35.380000000000003</v>
      </c>
      <c r="CJ47" s="103">
        <f>IF('PV-Panelen'!E10=0,"",'PV-Panelen'!E10)</f>
        <v>14</v>
      </c>
      <c r="CK47" s="103">
        <f>IF('PV-Panelen'!F10=0,"",'PV-Panelen'!F10)</f>
        <v>41.68</v>
      </c>
      <c r="CL47" s="103">
        <f>IF('PV-Panelen'!G10=0,"",'PV-Panelen'!G10)</f>
        <v>14.57</v>
      </c>
      <c r="CM47" s="103">
        <f>IF('PV-Panelen'!H10=0,"",'PV-Panelen'!H10)</f>
        <v>-0.26</v>
      </c>
      <c r="CN47" s="103">
        <f>IF('PV-Panelen'!I10=0,"",'PV-Panelen'!I10)</f>
        <v>-0.24</v>
      </c>
      <c r="CO47" s="104">
        <f>IF('PV-Panelen'!J10=0,"",'PV-Panelen'!J10)</f>
        <v>0.04</v>
      </c>
      <c r="CP47" s="203" t="str">
        <f ca="1">'PV-Panelen'!L10</f>
        <v/>
      </c>
      <c r="CQ47" s="74" t="str" cm="1">
        <f t="array" ref="CQ47">IFERROR(INDEX($CG$39:$CG$72,SMALL(IF($CF$39:$CF$72=$H$29,ROW($1:$28)),CR47)),"")</f>
        <v>DSN 445 (BSTC)</v>
      </c>
      <c r="CR47" s="204">
        <v>9</v>
      </c>
    </row>
    <row r="48" spans="1:103" ht="15" customHeight="1" thickBot="1" x14ac:dyDescent="0.25">
      <c r="A48" s="33"/>
      <c r="B48" s="25"/>
      <c r="C48" s="25"/>
      <c r="D48" s="25"/>
      <c r="E48" s="25"/>
      <c r="F48" s="25"/>
      <c r="G48" s="25"/>
      <c r="H48" s="25"/>
      <c r="I48" s="25"/>
      <c r="J48" s="25"/>
      <c r="K48" s="25"/>
      <c r="L48" s="25"/>
      <c r="M48" s="25"/>
      <c r="N48" s="25"/>
      <c r="O48" s="30"/>
      <c r="Q48" s="4"/>
      <c r="R48" s="218"/>
      <c r="U48" s="281"/>
      <c r="V48" s="282"/>
      <c r="W48" s="283"/>
      <c r="AD48" s="47"/>
      <c r="AE48" s="46"/>
      <c r="AI48" s="58"/>
      <c r="AJ48" s="59"/>
      <c r="AK48" s="356"/>
      <c r="AL48" s="354"/>
      <c r="AM48" s="351" t="s">
        <v>133</v>
      </c>
      <c r="AN48" s="359"/>
      <c r="AO48" s="60"/>
      <c r="AP48" s="61"/>
      <c r="AQ48" s="59"/>
      <c r="AR48" s="59"/>
      <c r="AS48" s="59"/>
      <c r="AT48" s="59"/>
      <c r="AU48" s="59"/>
      <c r="AV48" s="65"/>
      <c r="AW48" s="233"/>
      <c r="AX48" s="234"/>
      <c r="BD48" s="221">
        <f>AS21</f>
        <v>10</v>
      </c>
      <c r="BE48" s="221"/>
      <c r="BJ48" s="27"/>
      <c r="BL48" s="159"/>
      <c r="BM48" s="157"/>
      <c r="BN48" s="157"/>
      <c r="BO48" s="157"/>
      <c r="BP48" s="157"/>
      <c r="BQ48" s="157"/>
      <c r="BR48" s="157"/>
      <c r="BS48" s="157"/>
      <c r="BT48" s="157"/>
      <c r="BU48" s="157"/>
      <c r="BV48" s="157"/>
      <c r="BW48" s="157"/>
      <c r="BX48" s="157"/>
      <c r="BY48" s="157"/>
      <c r="BZ48" s="157"/>
      <c r="CA48" s="157"/>
      <c r="CB48" s="157"/>
      <c r="CC48" s="157"/>
      <c r="CD48" s="164"/>
      <c r="CF48" s="99" t="str">
        <f>IF('PV-Panelen'!A11=0,"",'PV-Panelen'!A11)</f>
        <v>Montsol Black</v>
      </c>
      <c r="CG48" s="100" t="str">
        <f>IF('PV-Panelen'!B11=0,"",'PV-Panelen'!B11)</f>
        <v>DSN 450 (BSTC)</v>
      </c>
      <c r="CH48" s="100">
        <f>IF('PV-Panelen'!C11=0,"",'PV-Panelen'!C11)</f>
        <v>500</v>
      </c>
      <c r="CI48" s="100">
        <f>IF('PV-Panelen'!D11=0,"",'PV-Panelen'!D11)</f>
        <v>35.630000000000003</v>
      </c>
      <c r="CJ48" s="100">
        <f>IF('PV-Panelen'!E11=0,"",'PV-Panelen'!E11)</f>
        <v>14.04</v>
      </c>
      <c r="CK48" s="100">
        <f>IF('PV-Panelen'!F11=0,"",'PV-Panelen'!F11)</f>
        <v>41.94</v>
      </c>
      <c r="CL48" s="100">
        <f>IF('PV-Panelen'!G11=0,"",'PV-Panelen'!G11)</f>
        <v>14.61</v>
      </c>
      <c r="CM48" s="100">
        <f>IF('PV-Panelen'!H11=0,"",'PV-Panelen'!H11)</f>
        <v>-0.26</v>
      </c>
      <c r="CN48" s="100">
        <f>IF('PV-Panelen'!I11=0,"",'PV-Panelen'!I11)</f>
        <v>-0.24</v>
      </c>
      <c r="CO48" s="101">
        <f>IF('PV-Panelen'!J11=0,"",'PV-Panelen'!J11)</f>
        <v>0.04</v>
      </c>
      <c r="CP48" s="203" t="str">
        <f ca="1">'PV-Panelen'!L11</f>
        <v/>
      </c>
      <c r="CQ48" s="74" t="str" cm="1">
        <f t="array" ref="CQ48">IFERROR(INDEX($CG$39:$CG$72,SMALL(IF($CF$39:$CF$72=$H$29,ROW($1:$28)),CR48)),"")</f>
        <v>DSN 450 (BSTC)</v>
      </c>
      <c r="CR48" s="204">
        <v>10</v>
      </c>
    </row>
    <row r="49" spans="1:96" ht="15" customHeight="1" thickBot="1" x14ac:dyDescent="0.25">
      <c r="Q49" s="4"/>
      <c r="R49" s="218"/>
      <c r="AD49" s="49"/>
      <c r="AE49" s="37"/>
      <c r="AI49" s="58"/>
      <c r="AJ49" s="59"/>
      <c r="AK49" s="357"/>
      <c r="AL49" s="358"/>
      <c r="AM49" s="360"/>
      <c r="AN49" s="361"/>
      <c r="AO49" s="59"/>
      <c r="AP49" s="59"/>
      <c r="AQ49" s="66"/>
      <c r="AR49" s="59"/>
      <c r="AS49" s="59"/>
      <c r="AT49" s="59"/>
      <c r="AU49" s="59"/>
      <c r="AV49" s="65"/>
      <c r="AW49" s="233"/>
      <c r="AX49" s="234"/>
      <c r="AY49" s="51"/>
      <c r="AZ49" s="235" t="s">
        <v>130</v>
      </c>
      <c r="BA49" s="236"/>
      <c r="BB49" s="237"/>
      <c r="BC49" s="35"/>
      <c r="BD49" s="222"/>
      <c r="BE49" s="222"/>
      <c r="BF49" s="34"/>
      <c r="BG49" s="235" t="s">
        <v>130</v>
      </c>
      <c r="BH49" s="236"/>
      <c r="BI49" s="237"/>
      <c r="BJ49" s="27"/>
      <c r="BL49" s="159"/>
      <c r="BM49" s="157"/>
      <c r="BN49" s="157"/>
      <c r="BO49" s="157"/>
      <c r="BP49" s="157"/>
      <c r="BQ49" s="157"/>
      <c r="BR49" s="157"/>
      <c r="BS49" s="157"/>
      <c r="BT49" s="157"/>
      <c r="BU49" s="157"/>
      <c r="BV49" s="157"/>
      <c r="BW49" s="157"/>
      <c r="BX49" s="157"/>
      <c r="BY49" s="157"/>
      <c r="BZ49" s="157"/>
      <c r="CA49" s="157"/>
      <c r="CB49" s="157"/>
      <c r="CC49" s="157"/>
      <c r="CD49" s="164"/>
      <c r="CF49" s="102" t="str">
        <f>IF('PV-Panelen'!A12=0,"",'PV-Panelen'!A12)</f>
        <v/>
      </c>
      <c r="CG49" s="103" t="str">
        <f>IF('PV-Panelen'!B12=0,"",'PV-Panelen'!B12)</f>
        <v/>
      </c>
      <c r="CH49" s="103" t="str">
        <f>IF('PV-Panelen'!C12=0,"",'PV-Panelen'!C12)</f>
        <v/>
      </c>
      <c r="CI49" s="103" t="str">
        <f>IF('PV-Panelen'!D12=0,"",'PV-Panelen'!D12)</f>
        <v/>
      </c>
      <c r="CJ49" s="103" t="str">
        <f>IF('PV-Panelen'!E12=0,"",'PV-Panelen'!E12)</f>
        <v/>
      </c>
      <c r="CK49" s="103" t="str">
        <f>IF('PV-Panelen'!F12=0,"",'PV-Panelen'!F12)</f>
        <v/>
      </c>
      <c r="CL49" s="103" t="str">
        <f>IF('PV-Panelen'!G12=0,"",'PV-Panelen'!G12)</f>
        <v/>
      </c>
      <c r="CM49" s="103" t="str">
        <f>IF('PV-Panelen'!H12=0,"",'PV-Panelen'!H12)</f>
        <v/>
      </c>
      <c r="CN49" s="103" t="str">
        <f>IF('PV-Panelen'!I12=0,"",'PV-Panelen'!I12)</f>
        <v/>
      </c>
      <c r="CO49" s="104" t="str">
        <f>IF('PV-Panelen'!J12=0,"",'PV-Panelen'!J12)</f>
        <v/>
      </c>
      <c r="CP49" s="203" t="str">
        <f ca="1">'PV-Panelen'!L12</f>
        <v/>
      </c>
      <c r="CQ49" s="74" t="str" cm="1">
        <f t="array" ref="CQ49">IFERROR(INDEX($CG$39:$CG$72,SMALL(IF($CF$39:$CF$72=$H$29,ROW($1:$28)),CR49)),"")</f>
        <v/>
      </c>
      <c r="CR49" s="204">
        <v>11</v>
      </c>
    </row>
    <row r="50" spans="1:96" ht="15" customHeight="1" thickBot="1" x14ac:dyDescent="0.25">
      <c r="A50" s="284" t="s">
        <v>141</v>
      </c>
      <c r="B50" s="285"/>
      <c r="C50" s="285"/>
      <c r="D50" s="285"/>
      <c r="E50" s="285"/>
      <c r="F50" s="285"/>
      <c r="G50" s="285"/>
      <c r="H50" s="285"/>
      <c r="I50" s="285"/>
      <c r="J50" s="285"/>
      <c r="K50" s="285"/>
      <c r="L50" s="285"/>
      <c r="M50" s="285"/>
      <c r="N50" s="285"/>
      <c r="O50" s="286"/>
      <c r="Q50" s="4"/>
      <c r="R50" s="218"/>
      <c r="AD50" s="49"/>
      <c r="AE50" s="37"/>
      <c r="AI50" s="58"/>
      <c r="AJ50" s="59"/>
      <c r="AK50" s="59"/>
      <c r="AL50" s="67"/>
      <c r="AM50" s="59"/>
      <c r="AN50" s="59"/>
      <c r="AO50" s="59"/>
      <c r="AP50" s="59"/>
      <c r="AQ50" s="66"/>
      <c r="AR50" s="59"/>
      <c r="AS50" s="59"/>
      <c r="AT50" s="59"/>
      <c r="AU50" s="59"/>
      <c r="AV50" s="68"/>
      <c r="AZ50" s="238"/>
      <c r="BA50" s="239"/>
      <c r="BB50" s="240"/>
      <c r="BG50" s="238"/>
      <c r="BH50" s="239"/>
      <c r="BI50" s="240"/>
      <c r="BJ50" s="27"/>
      <c r="BL50" s="159"/>
      <c r="BM50" s="157"/>
      <c r="BN50" s="157"/>
      <c r="BO50" s="157"/>
      <c r="BP50" s="157"/>
      <c r="BQ50" s="157"/>
      <c r="BR50" s="157"/>
      <c r="BS50" s="157"/>
      <c r="BT50" s="157"/>
      <c r="BU50" s="157"/>
      <c r="BV50" s="157"/>
      <c r="BW50" s="157"/>
      <c r="BX50" s="157"/>
      <c r="BY50" s="157"/>
      <c r="BZ50" s="157"/>
      <c r="CA50" s="157"/>
      <c r="CB50" s="157"/>
      <c r="CC50" s="157"/>
      <c r="CD50" s="164"/>
      <c r="CF50" s="99" t="str">
        <f>IF('PV-Panelen'!A13=0,"",'PV-Panelen'!A13)</f>
        <v/>
      </c>
      <c r="CG50" s="100" t="str">
        <f>IF('PV-Panelen'!B13=0,"",'PV-Panelen'!B13)</f>
        <v/>
      </c>
      <c r="CH50" s="100" t="str">
        <f>IF('PV-Panelen'!C13=0,"",'PV-Panelen'!C13)</f>
        <v/>
      </c>
      <c r="CI50" s="100" t="str">
        <f>IF('PV-Panelen'!D13=0,"",'PV-Panelen'!D13)</f>
        <v/>
      </c>
      <c r="CJ50" s="100" t="str">
        <f>IF('PV-Panelen'!E13=0,"",'PV-Panelen'!E13)</f>
        <v/>
      </c>
      <c r="CK50" s="100" t="str">
        <f>IF('PV-Panelen'!F13=0,"",'PV-Panelen'!F13)</f>
        <v/>
      </c>
      <c r="CL50" s="100" t="str">
        <f>IF('PV-Panelen'!G13=0,"",'PV-Panelen'!G13)</f>
        <v/>
      </c>
      <c r="CM50" s="100" t="str">
        <f>IF('PV-Panelen'!H13=0,"",'PV-Panelen'!H13)</f>
        <v/>
      </c>
      <c r="CN50" s="100" t="str">
        <f>IF('PV-Panelen'!I13=0,"",'PV-Panelen'!I13)</f>
        <v/>
      </c>
      <c r="CO50" s="101" t="str">
        <f>IF('PV-Panelen'!J13=0,"",'PV-Panelen'!J13)</f>
        <v/>
      </c>
      <c r="CP50" s="203" t="str">
        <f ca="1">'PV-Panelen'!L13</f>
        <v/>
      </c>
      <c r="CQ50" s="74" t="str">
        <f t="array" ref="CQ50">IFERROR(INDEX($CG$39:$CG$72,SMALL(IF($CF$39:$CF$72=$H$29,ROW($2:$30)),CR50)),"")</f>
        <v/>
      </c>
      <c r="CR50" s="204">
        <v>12</v>
      </c>
    </row>
    <row r="51" spans="1:96" ht="15" customHeight="1" thickBot="1" x14ac:dyDescent="0.25">
      <c r="A51" s="287"/>
      <c r="B51" s="288"/>
      <c r="C51" s="288"/>
      <c r="D51" s="288"/>
      <c r="E51" s="288"/>
      <c r="F51" s="288"/>
      <c r="G51" s="288"/>
      <c r="H51" s="288"/>
      <c r="I51" s="288"/>
      <c r="J51" s="288"/>
      <c r="K51" s="288"/>
      <c r="L51" s="288"/>
      <c r="M51" s="288"/>
      <c r="N51" s="288"/>
      <c r="O51" s="289"/>
      <c r="Q51" s="4"/>
      <c r="AC51" s="35"/>
      <c r="AD51" s="48"/>
      <c r="AE51" s="35"/>
      <c r="AF51" s="35"/>
      <c r="AI51" s="58"/>
      <c r="AJ51" s="59"/>
      <c r="AK51" s="77"/>
      <c r="AL51" s="67"/>
      <c r="AM51" s="59"/>
      <c r="AN51" s="77"/>
      <c r="AO51" s="59"/>
      <c r="AP51" s="59"/>
      <c r="AQ51" s="66"/>
      <c r="AR51" s="59"/>
      <c r="AS51" s="59"/>
      <c r="AT51" s="59"/>
      <c r="AU51" s="59"/>
      <c r="AV51" s="68"/>
      <c r="BD51" s="221">
        <f>IF(CB26="Neen",AS21,AS29)</f>
        <v>10</v>
      </c>
      <c r="BE51" s="221"/>
      <c r="BJ51" s="27"/>
      <c r="BL51" s="159"/>
      <c r="BM51" s="157"/>
      <c r="BN51" s="157"/>
      <c r="BO51" s="157"/>
      <c r="BP51" s="157"/>
      <c r="BQ51" s="157"/>
      <c r="BR51" s="157"/>
      <c r="BS51" s="157"/>
      <c r="BT51" s="157"/>
      <c r="BU51" s="157"/>
      <c r="BV51" s="157"/>
      <c r="BW51" s="157"/>
      <c r="BX51" s="157"/>
      <c r="BY51" s="157"/>
      <c r="BZ51" s="157"/>
      <c r="CA51" s="157"/>
      <c r="CB51" s="157"/>
      <c r="CC51" s="157"/>
      <c r="CD51" s="164"/>
      <c r="CF51" s="102" t="str">
        <f>IF('PV-Panelen'!A14=0,"",'PV-Panelen'!A14)</f>
        <v/>
      </c>
      <c r="CG51" s="103" t="str">
        <f>IF('PV-Panelen'!B14=0,"",'PV-Panelen'!B14)</f>
        <v/>
      </c>
      <c r="CH51" s="103" t="str">
        <f>IF('PV-Panelen'!C14=0,"",'PV-Panelen'!C14)</f>
        <v/>
      </c>
      <c r="CI51" s="103" t="str">
        <f>IF('PV-Panelen'!D14=0,"",'PV-Panelen'!D14)</f>
        <v/>
      </c>
      <c r="CJ51" s="103" t="str">
        <f>IF('PV-Panelen'!E14=0,"",'PV-Panelen'!E14)</f>
        <v/>
      </c>
      <c r="CK51" s="103" t="str">
        <f>IF('PV-Panelen'!F14=0,"",'PV-Panelen'!F14)</f>
        <v/>
      </c>
      <c r="CL51" s="103" t="str">
        <f>IF('PV-Panelen'!G14=0,"",'PV-Panelen'!G14)</f>
        <v/>
      </c>
      <c r="CM51" s="103" t="str">
        <f>IF('PV-Panelen'!H14=0,"",'PV-Panelen'!H14)</f>
        <v/>
      </c>
      <c r="CN51" s="103" t="str">
        <f>IF('PV-Panelen'!I14=0,"",'PV-Panelen'!I14)</f>
        <v/>
      </c>
      <c r="CO51" s="104" t="str">
        <f>IF('PV-Panelen'!J14=0,"",'PV-Panelen'!J14)</f>
        <v/>
      </c>
      <c r="CP51" s="203" t="str">
        <f ca="1">'PV-Panelen'!L14</f>
        <v/>
      </c>
      <c r="CQ51" s="74" t="str">
        <f t="array" ref="CQ51">IFERROR(INDEX($CG$39:$CG$72,SMALL(IF($CF$39:$CF$72=$H$29,ROW($2:$30)),CR51)),"")</f>
        <v/>
      </c>
      <c r="CR51" s="204">
        <v>13</v>
      </c>
    </row>
    <row r="52" spans="1:96" ht="15" customHeight="1" thickBot="1" x14ac:dyDescent="0.25">
      <c r="A52" s="42"/>
      <c r="B52" s="43"/>
      <c r="C52" s="43"/>
      <c r="D52" s="43"/>
      <c r="E52" s="43"/>
      <c r="F52" s="43"/>
      <c r="G52" s="43"/>
      <c r="H52" s="43"/>
      <c r="I52" s="43"/>
      <c r="J52" s="43"/>
      <c r="K52" s="43"/>
      <c r="L52" s="43"/>
      <c r="M52" s="43"/>
      <c r="N52" s="43"/>
      <c r="O52" s="44"/>
      <c r="Q52" s="4"/>
      <c r="AC52" s="219" t="s">
        <v>142</v>
      </c>
      <c r="AD52" s="219"/>
      <c r="AE52" s="219"/>
      <c r="AF52" s="219"/>
      <c r="AI52" s="58"/>
      <c r="AJ52" s="241"/>
      <c r="AK52" s="242"/>
      <c r="AL52" s="243"/>
      <c r="AM52" s="243"/>
      <c r="AN52" s="242"/>
      <c r="AO52" s="244"/>
      <c r="AP52" s="59"/>
      <c r="AQ52" s="69"/>
      <c r="AR52" s="223" t="s">
        <v>139</v>
      </c>
      <c r="AS52" s="224"/>
      <c r="AT52" s="227">
        <v>2</v>
      </c>
      <c r="AU52" s="228"/>
      <c r="AV52" s="63"/>
      <c r="AW52" s="52"/>
      <c r="AX52" s="35"/>
      <c r="AY52" s="48"/>
      <c r="AZ52" s="235" t="s">
        <v>130</v>
      </c>
      <c r="BA52" s="236"/>
      <c r="BB52" s="237"/>
      <c r="BC52" s="35"/>
      <c r="BD52" s="222"/>
      <c r="BE52" s="222"/>
      <c r="BF52" s="34"/>
      <c r="BG52" s="235" t="s">
        <v>130</v>
      </c>
      <c r="BH52" s="236"/>
      <c r="BI52" s="237"/>
      <c r="BJ52" s="27"/>
      <c r="BL52" s="159"/>
      <c r="BM52" s="157"/>
      <c r="BN52" s="157"/>
      <c r="BO52" s="157"/>
      <c r="BP52" s="157"/>
      <c r="BQ52" s="157"/>
      <c r="BR52" s="157"/>
      <c r="BS52" s="157"/>
      <c r="BT52" s="157"/>
      <c r="BU52" s="157"/>
      <c r="BV52" s="157"/>
      <c r="BW52" s="157"/>
      <c r="BX52" s="157"/>
      <c r="BY52" s="157"/>
      <c r="BZ52" s="157"/>
      <c r="CA52" s="157"/>
      <c r="CB52" s="157"/>
      <c r="CC52" s="157"/>
      <c r="CD52" s="164"/>
      <c r="CF52" s="99" t="str">
        <f>IF('PV-Panelen'!A15=0,"",'PV-Panelen'!A15)</f>
        <v/>
      </c>
      <c r="CG52" s="100" t="str">
        <f>IF('PV-Panelen'!B15=0,"",'PV-Panelen'!B15)</f>
        <v/>
      </c>
      <c r="CH52" s="100" t="str">
        <f>IF('PV-Panelen'!C15=0,"",'PV-Panelen'!C15)</f>
        <v/>
      </c>
      <c r="CI52" s="100" t="str">
        <f>IF('PV-Panelen'!D15=0,"",'PV-Panelen'!D15)</f>
        <v/>
      </c>
      <c r="CJ52" s="100" t="str">
        <f>IF('PV-Panelen'!E15=0,"",'PV-Panelen'!E15)</f>
        <v/>
      </c>
      <c r="CK52" s="100" t="str">
        <f>IF('PV-Panelen'!F15=0,"",'PV-Panelen'!F15)</f>
        <v/>
      </c>
      <c r="CL52" s="100" t="str">
        <f>IF('PV-Panelen'!G15=0,"",'PV-Panelen'!G15)</f>
        <v/>
      </c>
      <c r="CM52" s="100" t="str">
        <f>IF('PV-Panelen'!H15=0,"",'PV-Panelen'!H15)</f>
        <v/>
      </c>
      <c r="CN52" s="100" t="str">
        <f>IF('PV-Panelen'!I15=0,"",'PV-Panelen'!I15)</f>
        <v/>
      </c>
      <c r="CO52" s="101" t="str">
        <f>IF('PV-Panelen'!J15=0,"",'PV-Panelen'!J15)</f>
        <v/>
      </c>
      <c r="CP52" s="203" t="str">
        <f ca="1">'PV-Panelen'!L15</f>
        <v/>
      </c>
      <c r="CQ52" s="74" t="str">
        <f t="array" ref="CQ52">IFERROR(INDEX($CG$39:$CG$72,SMALL(IF($CF$39:$CF$72=$H$29,ROW($2:$30)),CR52)),"")</f>
        <v/>
      </c>
      <c r="CR52" s="204">
        <v>14</v>
      </c>
    </row>
    <row r="53" spans="1:96" ht="15" customHeight="1" thickBot="1" x14ac:dyDescent="0.25">
      <c r="A53" s="4"/>
      <c r="B53" s="3" t="s">
        <v>143</v>
      </c>
      <c r="C53" s="3"/>
      <c r="J53" s="216">
        <v>4500</v>
      </c>
      <c r="K53" s="217"/>
      <c r="L53" s="191"/>
      <c r="N53" s="2" t="s">
        <v>21</v>
      </c>
      <c r="O53" s="27"/>
      <c r="Q53" s="4"/>
      <c r="AI53" s="58"/>
      <c r="AJ53" s="245"/>
      <c r="AK53" s="242"/>
      <c r="AL53" s="242"/>
      <c r="AM53" s="242"/>
      <c r="AN53" s="242"/>
      <c r="AO53" s="246"/>
      <c r="AP53" s="59"/>
      <c r="AQ53" s="59"/>
      <c r="AR53" s="225"/>
      <c r="AS53" s="226"/>
      <c r="AT53" s="229"/>
      <c r="AU53" s="230"/>
      <c r="AV53" s="65"/>
      <c r="AW53" s="231">
        <f>IF(CB26="Neen",BC21,BC29)</f>
        <v>1</v>
      </c>
      <c r="AX53" s="232"/>
      <c r="AZ53" s="238"/>
      <c r="BA53" s="239"/>
      <c r="BB53" s="240"/>
      <c r="BG53" s="238"/>
      <c r="BH53" s="239"/>
      <c r="BI53" s="240"/>
      <c r="BJ53" s="27"/>
      <c r="BL53" s="159"/>
      <c r="BM53" s="157"/>
      <c r="BN53" s="157"/>
      <c r="BO53" s="157"/>
      <c r="BP53" s="157"/>
      <c r="BQ53" s="157"/>
      <c r="BR53" s="157"/>
      <c r="BS53" s="157"/>
      <c r="BT53" s="157"/>
      <c r="BU53" s="157"/>
      <c r="BV53" s="157"/>
      <c r="BW53" s="157"/>
      <c r="BX53" s="157"/>
      <c r="BY53" s="157"/>
      <c r="BZ53" s="157"/>
      <c r="CA53" s="157"/>
      <c r="CB53" s="157"/>
      <c r="CC53" s="157"/>
      <c r="CD53" s="164"/>
      <c r="CF53" s="209" t="str">
        <f>IF('PV-Panelen'!A16=0,"",'PV-Panelen'!A16)</f>
        <v/>
      </c>
      <c r="CG53" s="103" t="str">
        <f>IF('PV-Panelen'!B16=0,"",'PV-Panelen'!B16)</f>
        <v/>
      </c>
      <c r="CH53" s="103" t="str">
        <f>IF('PV-Panelen'!C16=0,"",'PV-Panelen'!C16)</f>
        <v/>
      </c>
      <c r="CI53" s="103" t="str">
        <f>IF('PV-Panelen'!D16=0,"",'PV-Panelen'!D16)</f>
        <v/>
      </c>
      <c r="CJ53" s="103" t="str">
        <f>IF('PV-Panelen'!E16=0,"",'PV-Panelen'!E16)</f>
        <v/>
      </c>
      <c r="CK53" s="103" t="str">
        <f>IF('PV-Panelen'!F16=0,"",'PV-Panelen'!F16)</f>
        <v/>
      </c>
      <c r="CL53" s="103" t="str">
        <f>IF('PV-Panelen'!G16=0,"",'PV-Panelen'!G16)</f>
        <v/>
      </c>
      <c r="CM53" s="103" t="str">
        <f>IF('PV-Panelen'!H16=0,"",'PV-Panelen'!H16)</f>
        <v/>
      </c>
      <c r="CN53" s="103" t="str">
        <f>IF('PV-Panelen'!I16=0,"",'PV-Panelen'!I16)</f>
        <v/>
      </c>
      <c r="CO53" s="104" t="str">
        <f>IF('PV-Panelen'!J16=0,"",'PV-Panelen'!J16)</f>
        <v/>
      </c>
      <c r="CP53" s="203" t="str">
        <f ca="1">'PV-Panelen'!L16</f>
        <v/>
      </c>
      <c r="CQ53" s="74" t="str">
        <f t="array" ref="CQ53">IFERROR(INDEX($CG$39:$CG$72,SMALL(IF($CF$39:$CF$72=$H$29,ROW($2:$30)),CR53)),"")</f>
        <v/>
      </c>
      <c r="CR53" s="204">
        <v>15</v>
      </c>
    </row>
    <row r="54" spans="1:96" ht="15" customHeight="1" thickBot="1" x14ac:dyDescent="0.25">
      <c r="A54" s="4"/>
      <c r="B54" s="3" t="s">
        <v>144</v>
      </c>
      <c r="C54" s="3"/>
      <c r="D54" s="3"/>
      <c r="E54" s="3"/>
      <c r="F54" s="3"/>
      <c r="G54" s="3"/>
      <c r="H54" s="3"/>
      <c r="K54" s="39">
        <f>J53/365</f>
        <v>12.328767123287671</v>
      </c>
      <c r="L54" s="39"/>
      <c r="N54" s="2" t="s">
        <v>21</v>
      </c>
      <c r="O54" s="27"/>
      <c r="Q54" s="4"/>
      <c r="AI54" s="58"/>
      <c r="AJ54" s="245"/>
      <c r="AK54" s="242"/>
      <c r="AL54" s="242"/>
      <c r="AM54" s="242"/>
      <c r="AN54" s="242"/>
      <c r="AO54" s="246"/>
      <c r="AP54" s="59"/>
      <c r="AQ54" s="59"/>
      <c r="AR54" s="59"/>
      <c r="AS54" s="59"/>
      <c r="AT54" s="59"/>
      <c r="AU54" s="59"/>
      <c r="AV54" s="65"/>
      <c r="AW54" s="233"/>
      <c r="AX54" s="234"/>
      <c r="BD54" s="221">
        <f>IF(CB26="Neen",AS21,AS29)</f>
        <v>10</v>
      </c>
      <c r="BE54" s="221"/>
      <c r="BJ54" s="27"/>
      <c r="BL54" s="159"/>
      <c r="BM54" s="157"/>
      <c r="BN54" s="157"/>
      <c r="BO54" s="157"/>
      <c r="BP54" s="157"/>
      <c r="BQ54" s="157"/>
      <c r="BR54" s="157"/>
      <c r="BS54" s="157"/>
      <c r="BT54" s="157"/>
      <c r="BU54" s="157"/>
      <c r="BV54" s="157"/>
      <c r="BW54" s="157"/>
      <c r="BX54" s="157"/>
      <c r="BY54" s="157"/>
      <c r="BZ54" s="157"/>
      <c r="CA54" s="157"/>
      <c r="CB54" s="157"/>
      <c r="CC54" s="157"/>
      <c r="CD54" s="164"/>
      <c r="CF54" s="99" t="str">
        <f>IF('PV-Panelen'!A17=0,"",'PV-Panelen'!A17)</f>
        <v/>
      </c>
      <c r="CG54" s="100" t="str">
        <f>IF('PV-Panelen'!B17=0,"",'PV-Panelen'!B17)</f>
        <v/>
      </c>
      <c r="CH54" s="100" t="str">
        <f>IF('PV-Panelen'!C17=0,"",'PV-Panelen'!C17)</f>
        <v/>
      </c>
      <c r="CI54" s="100" t="str">
        <f>IF('PV-Panelen'!D17=0,"",'PV-Panelen'!D17)</f>
        <v/>
      </c>
      <c r="CJ54" s="100" t="str">
        <f>IF('PV-Panelen'!E17=0,"",'PV-Panelen'!E17)</f>
        <v/>
      </c>
      <c r="CK54" s="100" t="str">
        <f>IF('PV-Panelen'!F17=0,"",'PV-Panelen'!F17)</f>
        <v/>
      </c>
      <c r="CL54" s="100" t="str">
        <f>IF('PV-Panelen'!G17=0,"",'PV-Panelen'!G17)</f>
        <v/>
      </c>
      <c r="CM54" s="100" t="str">
        <f>IF('PV-Panelen'!H17=0,"",'PV-Panelen'!H17)</f>
        <v/>
      </c>
      <c r="CN54" s="100" t="str">
        <f>IF('PV-Panelen'!I17=0,"",'PV-Panelen'!I17)</f>
        <v/>
      </c>
      <c r="CO54" s="101" t="str">
        <f>IF('PV-Panelen'!J17=0,"",'PV-Panelen'!J17)</f>
        <v/>
      </c>
      <c r="CP54" s="203" t="str">
        <f ca="1">'PV-Panelen'!L17</f>
        <v/>
      </c>
      <c r="CQ54" s="74" t="str">
        <f t="array" ref="CQ54">IFERROR(INDEX($CG$39:$CG$72,SMALL(IF($CF$39:$CF$72=$H$29,ROW($2:$30)),CR54)),"")</f>
        <v/>
      </c>
      <c r="CR54" s="204">
        <v>16</v>
      </c>
    </row>
    <row r="55" spans="1:96" ht="15" customHeight="1" thickBot="1" x14ac:dyDescent="0.25">
      <c r="A55" s="4"/>
      <c r="B55" s="3" t="s">
        <v>145</v>
      </c>
      <c r="C55" s="3"/>
      <c r="D55" s="3"/>
      <c r="E55" s="3"/>
      <c r="F55" s="3"/>
      <c r="G55" s="3"/>
      <c r="H55" s="3"/>
      <c r="I55" s="3"/>
      <c r="J55" s="214">
        <v>40</v>
      </c>
      <c r="K55" s="215"/>
      <c r="L55" s="191"/>
      <c r="M55" s="3"/>
      <c r="N55" s="2" t="s">
        <v>146</v>
      </c>
      <c r="O55" s="27"/>
      <c r="Q55" s="4"/>
      <c r="AI55" s="58"/>
      <c r="AJ55" s="247"/>
      <c r="AK55" s="248"/>
      <c r="AL55" s="248"/>
      <c r="AM55" s="248"/>
      <c r="AN55" s="248"/>
      <c r="AO55" s="249"/>
      <c r="AP55" s="59"/>
      <c r="AQ55" s="59"/>
      <c r="AR55" s="59"/>
      <c r="AS55" s="59"/>
      <c r="AT55" s="59"/>
      <c r="AU55" s="59"/>
      <c r="AV55" s="65"/>
      <c r="AW55" s="233"/>
      <c r="AX55" s="234"/>
      <c r="AY55" s="51"/>
      <c r="AZ55" s="235" t="s">
        <v>130</v>
      </c>
      <c r="BA55" s="236"/>
      <c r="BB55" s="237"/>
      <c r="BC55" s="35"/>
      <c r="BD55" s="222"/>
      <c r="BE55" s="222"/>
      <c r="BF55" s="34"/>
      <c r="BG55" s="235" t="s">
        <v>130</v>
      </c>
      <c r="BH55" s="236"/>
      <c r="BI55" s="237"/>
      <c r="BJ55" s="27"/>
      <c r="BL55" s="159"/>
      <c r="BM55" s="157"/>
      <c r="BN55" s="157"/>
      <c r="BO55" s="157"/>
      <c r="BP55" s="157"/>
      <c r="BQ55" s="157"/>
      <c r="BR55" s="157"/>
      <c r="BS55" s="157"/>
      <c r="BT55" s="157"/>
      <c r="BU55" s="157"/>
      <c r="BV55" s="157"/>
      <c r="BW55" s="157"/>
      <c r="BX55" s="157"/>
      <c r="BY55" s="157"/>
      <c r="BZ55" s="157"/>
      <c r="CA55" s="157"/>
      <c r="CB55" s="157"/>
      <c r="CC55" s="157"/>
      <c r="CD55" s="164"/>
      <c r="CF55" s="209" t="str">
        <f>IF('PV-Panelen'!A18=0,"",'PV-Panelen'!A18)</f>
        <v/>
      </c>
      <c r="CG55" s="103" t="str">
        <f>IF('PV-Panelen'!B18=0,"",'PV-Panelen'!B18)</f>
        <v/>
      </c>
      <c r="CH55" s="103" t="str">
        <f>IF('PV-Panelen'!C18=0,"",'PV-Panelen'!C18)</f>
        <v/>
      </c>
      <c r="CI55" s="103" t="str">
        <f>IF('PV-Panelen'!D18=0,"",'PV-Panelen'!D18)</f>
        <v/>
      </c>
      <c r="CJ55" s="103" t="str">
        <f>IF('PV-Panelen'!E18=0,"",'PV-Panelen'!E18)</f>
        <v/>
      </c>
      <c r="CK55" s="103" t="str">
        <f>IF('PV-Panelen'!F18=0,"",'PV-Panelen'!F18)</f>
        <v/>
      </c>
      <c r="CL55" s="103" t="str">
        <f>IF('PV-Panelen'!G18=0,"",'PV-Panelen'!G18)</f>
        <v/>
      </c>
      <c r="CM55" s="103" t="str">
        <f>IF('PV-Panelen'!H18=0,"",'PV-Panelen'!H18)</f>
        <v/>
      </c>
      <c r="CN55" s="103" t="str">
        <f>IF('PV-Panelen'!I18=0,"",'PV-Panelen'!I18)</f>
        <v/>
      </c>
      <c r="CO55" s="104" t="str">
        <f>IF('PV-Panelen'!J18=0,"",'PV-Panelen'!J18)</f>
        <v/>
      </c>
      <c r="CP55" s="203" t="str">
        <f ca="1">'PV-Panelen'!L18</f>
        <v/>
      </c>
      <c r="CQ55" s="74" t="str">
        <f t="array" ref="CQ55">IFERROR(INDEX($CG$39:$CG$72,SMALL(IF($CF$39:$CF$72=$H$29,ROW($2:$30)),CR55)),"")</f>
        <v/>
      </c>
      <c r="CR55" s="204">
        <v>17</v>
      </c>
    </row>
    <row r="56" spans="1:96" ht="15" customHeight="1" thickBot="1" x14ac:dyDescent="0.25">
      <c r="A56" s="4"/>
      <c r="B56" s="83" t="s">
        <v>147</v>
      </c>
      <c r="C56" s="3"/>
      <c r="D56" s="3"/>
      <c r="E56" s="3"/>
      <c r="F56" s="3"/>
      <c r="G56" s="3"/>
      <c r="H56" s="3"/>
      <c r="I56" s="3"/>
      <c r="J56" s="3"/>
      <c r="K56" s="3"/>
      <c r="L56" s="3"/>
      <c r="M56" s="3"/>
      <c r="N56" s="3"/>
      <c r="O56" s="27"/>
      <c r="Q56" s="4"/>
      <c r="AI56" s="70"/>
      <c r="AJ56" s="71"/>
      <c r="AK56" s="71"/>
      <c r="AL56" s="71"/>
      <c r="AM56" s="71"/>
      <c r="AN56" s="71"/>
      <c r="AO56" s="71"/>
      <c r="AP56" s="71"/>
      <c r="AQ56" s="71"/>
      <c r="AR56" s="71"/>
      <c r="AS56" s="71"/>
      <c r="AT56" s="71"/>
      <c r="AU56" s="71"/>
      <c r="AV56" s="72"/>
      <c r="AZ56" s="238"/>
      <c r="BA56" s="239"/>
      <c r="BB56" s="240"/>
      <c r="BG56" s="238"/>
      <c r="BH56" s="239"/>
      <c r="BI56" s="240"/>
      <c r="BJ56" s="27"/>
      <c r="BL56" s="159"/>
      <c r="BM56" s="157"/>
      <c r="BN56" s="157"/>
      <c r="BO56" s="157"/>
      <c r="BP56" s="157"/>
      <c r="BQ56" s="157"/>
      <c r="BR56" s="157"/>
      <c r="BS56" s="157"/>
      <c r="BT56" s="157"/>
      <c r="BU56" s="157"/>
      <c r="BV56" s="157"/>
      <c r="BW56" s="157"/>
      <c r="BX56" s="157"/>
      <c r="BY56" s="157"/>
      <c r="BZ56" s="157"/>
      <c r="CA56" s="157"/>
      <c r="CB56" s="157"/>
      <c r="CC56" s="157"/>
      <c r="CD56" s="164"/>
      <c r="CF56" s="99" t="str">
        <f>IF('PV-Panelen'!A19=0,"",'PV-Panelen'!A19)</f>
        <v/>
      </c>
      <c r="CG56" s="100" t="str">
        <f>IF('PV-Panelen'!B19=0,"",'PV-Panelen'!B19)</f>
        <v/>
      </c>
      <c r="CH56" s="100" t="str">
        <f>IF('PV-Panelen'!C19=0,"",'PV-Panelen'!C19)</f>
        <v/>
      </c>
      <c r="CI56" s="100" t="str">
        <f>IF('PV-Panelen'!D19=0,"",'PV-Panelen'!D19)</f>
        <v/>
      </c>
      <c r="CJ56" s="100" t="str">
        <f>IF('PV-Panelen'!E19=0,"",'PV-Panelen'!E19)</f>
        <v/>
      </c>
      <c r="CK56" s="100" t="str">
        <f>IF('PV-Panelen'!F19=0,"",'PV-Panelen'!F19)</f>
        <v/>
      </c>
      <c r="CL56" s="100" t="str">
        <f>IF('PV-Panelen'!G19=0,"",'PV-Panelen'!G19)</f>
        <v/>
      </c>
      <c r="CM56" s="100" t="str">
        <f>IF('PV-Panelen'!H19=0,"",'PV-Panelen'!H19)</f>
        <v/>
      </c>
      <c r="CN56" s="100" t="str">
        <f>IF('PV-Panelen'!I19=0,"",'PV-Panelen'!I19)</f>
        <v/>
      </c>
      <c r="CO56" s="101" t="str">
        <f>IF('PV-Panelen'!J19=0,"",'PV-Panelen'!J19)</f>
        <v/>
      </c>
      <c r="CP56" s="203" t="str">
        <f ca="1">'PV-Panelen'!L19</f>
        <v/>
      </c>
      <c r="CQ56" s="74" t="str">
        <f t="array" ref="CQ56">IFERROR(INDEX($CG$39:$CG$72,SMALL(IF($CF$39:$CF$72=$H$29,ROW($2:$30)),CR56)),"")</f>
        <v/>
      </c>
      <c r="CR56" s="204">
        <v>18</v>
      </c>
    </row>
    <row r="57" spans="1:96" ht="15" customHeight="1" x14ac:dyDescent="0.2">
      <c r="A57" s="10"/>
      <c r="B57" s="3" t="s">
        <v>148</v>
      </c>
      <c r="C57" s="3"/>
      <c r="J57" s="216">
        <v>1</v>
      </c>
      <c r="K57" s="217"/>
      <c r="L57" s="346" t="s">
        <v>149</v>
      </c>
      <c r="M57" s="219"/>
      <c r="N57" s="219"/>
      <c r="O57" s="347"/>
      <c r="Q57" s="33"/>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30"/>
      <c r="BL57" s="169"/>
      <c r="BM57" s="170"/>
      <c r="BN57" s="170"/>
      <c r="BO57" s="170"/>
      <c r="BP57" s="170"/>
      <c r="BQ57" s="170"/>
      <c r="BR57" s="170"/>
      <c r="BS57" s="170"/>
      <c r="BT57" s="170"/>
      <c r="BU57" s="170"/>
      <c r="BV57" s="170"/>
      <c r="BW57" s="170"/>
      <c r="BX57" s="170"/>
      <c r="BY57" s="170"/>
      <c r="BZ57" s="170"/>
      <c r="CA57" s="170"/>
      <c r="CB57" s="170"/>
      <c r="CC57" s="170"/>
      <c r="CD57" s="171"/>
      <c r="CF57" s="209" t="str">
        <f>IF('PV-Panelen'!A20=0,"",'PV-Panelen'!A20)</f>
        <v/>
      </c>
      <c r="CG57" s="103" t="str">
        <f>IF('PV-Panelen'!B20=0,"",'PV-Panelen'!B20)</f>
        <v/>
      </c>
      <c r="CH57" s="103" t="str">
        <f>IF('PV-Panelen'!C20=0,"",'PV-Panelen'!C20)</f>
        <v/>
      </c>
      <c r="CI57" s="103" t="str">
        <f>IF('PV-Panelen'!D20=0,"",'PV-Panelen'!D20)</f>
        <v/>
      </c>
      <c r="CJ57" s="103" t="str">
        <f>IF('PV-Panelen'!E20=0,"",'PV-Panelen'!E20)</f>
        <v/>
      </c>
      <c r="CK57" s="103" t="str">
        <f>IF('PV-Panelen'!F20=0,"",'PV-Panelen'!F20)</f>
        <v/>
      </c>
      <c r="CL57" s="103" t="str">
        <f>IF('PV-Panelen'!G20=0,"",'PV-Panelen'!G20)</f>
        <v/>
      </c>
      <c r="CM57" s="103" t="str">
        <f>IF('PV-Panelen'!H20=0,"",'PV-Panelen'!H20)</f>
        <v/>
      </c>
      <c r="CN57" s="103" t="str">
        <f>IF('PV-Panelen'!I20=0,"",'PV-Panelen'!I20)</f>
        <v/>
      </c>
      <c r="CO57" s="104" t="str">
        <f>IF('PV-Panelen'!J20=0,"",'PV-Panelen'!J20)</f>
        <v/>
      </c>
      <c r="CP57" s="203" t="str">
        <f ca="1">'PV-Panelen'!L20</f>
        <v/>
      </c>
      <c r="CQ57" s="74" t="str">
        <f t="array" ref="CQ57">IFERROR(INDEX($CG$39:$CG$72,SMALL(IF($CF$39:$CF$72=$H$29,ROW($2:$30)),CR57)),"")</f>
        <v/>
      </c>
      <c r="CR57" s="204">
        <v>19</v>
      </c>
    </row>
    <row r="58" spans="1:96" ht="15" customHeight="1" x14ac:dyDescent="0.2">
      <c r="A58" s="4"/>
      <c r="B58" s="78"/>
      <c r="L58" s="191"/>
      <c r="O58" s="5"/>
      <c r="BX58" s="192"/>
      <c r="BY58" s="192"/>
      <c r="BZ58" s="192"/>
      <c r="CA58" s="192"/>
      <c r="CB58" s="192"/>
      <c r="CC58" s="192"/>
      <c r="CD58" s="190" t="s">
        <v>150</v>
      </c>
      <c r="CF58" s="99" t="str">
        <f>IF('PV-Panelen'!A21=0,"",'PV-Panelen'!A21)</f>
        <v/>
      </c>
      <c r="CG58" s="100" t="str">
        <f>IF('PV-Panelen'!B21=0,"",'PV-Panelen'!B21)</f>
        <v/>
      </c>
      <c r="CH58" s="100" t="str">
        <f>IF('PV-Panelen'!C21=0,"",'PV-Panelen'!C21)</f>
        <v/>
      </c>
      <c r="CI58" s="100" t="str">
        <f>IF('PV-Panelen'!D21=0,"",'PV-Panelen'!D21)</f>
        <v/>
      </c>
      <c r="CJ58" s="100" t="str">
        <f>IF('PV-Panelen'!E21=0,"",'PV-Panelen'!E21)</f>
        <v/>
      </c>
      <c r="CK58" s="100" t="str">
        <f>IF('PV-Panelen'!F21=0,"",'PV-Panelen'!F21)</f>
        <v/>
      </c>
      <c r="CL58" s="100" t="str">
        <f>IF('PV-Panelen'!G21=0,"",'PV-Panelen'!G21)</f>
        <v/>
      </c>
      <c r="CM58" s="100" t="str">
        <f>IF('PV-Panelen'!H21=0,"",'PV-Panelen'!H21)</f>
        <v/>
      </c>
      <c r="CN58" s="100" t="str">
        <f>IF('PV-Panelen'!I21=0,"",'PV-Panelen'!I21)</f>
        <v/>
      </c>
      <c r="CO58" s="101" t="str">
        <f>IF('PV-Panelen'!J21=0,"",'PV-Panelen'!J21)</f>
        <v/>
      </c>
      <c r="CP58" s="203" t="str">
        <f ca="1">'PV-Panelen'!L21</f>
        <v/>
      </c>
      <c r="CQ58" s="74" t="str">
        <f t="array" ref="CQ58">IFERROR(INDEX($CG$39:$CG$72,SMALL(IF($CF$39:$CF$72=$H$29,ROW($2:$30)),CR58)),"")</f>
        <v/>
      </c>
      <c r="CR58" s="204">
        <v>20</v>
      </c>
    </row>
    <row r="59" spans="1:96" ht="15" customHeight="1" x14ac:dyDescent="0.25">
      <c r="A59" s="4"/>
      <c r="B59" s="84" t="s">
        <v>151</v>
      </c>
      <c r="C59" s="84"/>
      <c r="D59" s="12"/>
      <c r="E59" s="12"/>
      <c r="F59" s="12"/>
      <c r="G59" s="12"/>
      <c r="H59" s="12"/>
      <c r="I59" s="12"/>
      <c r="J59" s="213">
        <f>(J53/365)/(J57/365)*1.3</f>
        <v>5850</v>
      </c>
      <c r="K59" s="213"/>
      <c r="L59" s="82"/>
      <c r="M59" s="12"/>
      <c r="N59" s="9" t="s">
        <v>152</v>
      </c>
      <c r="O59" s="27"/>
      <c r="Q59" s="220" t="s">
        <v>153</v>
      </c>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F59" s="209" t="str">
        <f>IF('PV-Panelen'!A22=0,"",'PV-Panelen'!A22)</f>
        <v/>
      </c>
      <c r="CG59" s="103" t="str">
        <f>IF('PV-Panelen'!B22=0,"",'PV-Panelen'!B22)</f>
        <v/>
      </c>
      <c r="CH59" s="103" t="str">
        <f>IF('PV-Panelen'!C22=0,"",'PV-Panelen'!C22)</f>
        <v/>
      </c>
      <c r="CI59" s="103" t="str">
        <f>IF('PV-Panelen'!D22=0,"",'PV-Panelen'!D22)</f>
        <v/>
      </c>
      <c r="CJ59" s="103" t="str">
        <f>IF('PV-Panelen'!E22=0,"",'PV-Panelen'!E22)</f>
        <v/>
      </c>
      <c r="CK59" s="103" t="str">
        <f>IF('PV-Panelen'!F22=0,"",'PV-Panelen'!F22)</f>
        <v/>
      </c>
      <c r="CL59" s="103" t="str">
        <f>IF('PV-Panelen'!G22=0,"",'PV-Panelen'!G22)</f>
        <v/>
      </c>
      <c r="CM59" s="103" t="str">
        <f>IF('PV-Panelen'!H22=0,"",'PV-Panelen'!H22)</f>
        <v/>
      </c>
      <c r="CN59" s="103" t="str">
        <f>IF('PV-Panelen'!I22=0,"",'PV-Panelen'!I22)</f>
        <v/>
      </c>
      <c r="CO59" s="104" t="str">
        <f>IF('PV-Panelen'!J22=0,"",'PV-Panelen'!J22)</f>
        <v/>
      </c>
      <c r="CP59" s="203" t="str">
        <f ca="1">'PV-Panelen'!L22</f>
        <v/>
      </c>
      <c r="CQ59" s="74" t="str">
        <f t="array" ref="CQ59">IFERROR(INDEX($CG$39:$CG$72,SMALL(IF($CF$39:$CF$72=$H$29,ROW($2:$30)),CR59)),"")</f>
        <v/>
      </c>
      <c r="CR59" s="204">
        <v>21</v>
      </c>
    </row>
    <row r="60" spans="1:96" ht="15" customHeight="1" x14ac:dyDescent="0.25">
      <c r="A60" s="4"/>
      <c r="B60" s="84" t="s">
        <v>154</v>
      </c>
      <c r="C60" s="84"/>
      <c r="D60" s="12"/>
      <c r="E60" s="12"/>
      <c r="F60" s="12"/>
      <c r="G60" s="12"/>
      <c r="H60" s="12"/>
      <c r="I60" s="12"/>
      <c r="J60" s="213">
        <f>ROUNDUP(J53/365*(J55/100)/0.65,1)</f>
        <v>7.6</v>
      </c>
      <c r="K60" s="213"/>
      <c r="L60" s="82"/>
      <c r="M60" s="12"/>
      <c r="N60" s="9" t="s">
        <v>155</v>
      </c>
      <c r="O60" s="27"/>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F60" s="99" t="str">
        <f>IF('PV-Panelen'!A23=0,"",'PV-Panelen'!A23)</f>
        <v/>
      </c>
      <c r="CG60" s="100" t="str">
        <f>IF('PV-Panelen'!B23=0,"",'PV-Panelen'!B23)</f>
        <v/>
      </c>
      <c r="CH60" s="100" t="str">
        <f>IF('PV-Panelen'!C23=0,"",'PV-Panelen'!C23)</f>
        <v/>
      </c>
      <c r="CI60" s="100" t="str">
        <f>IF('PV-Panelen'!D23=0,"",'PV-Panelen'!D23)</f>
        <v/>
      </c>
      <c r="CJ60" s="100" t="str">
        <f>IF('PV-Panelen'!E23=0,"",'PV-Panelen'!E23)</f>
        <v/>
      </c>
      <c r="CK60" s="100" t="str">
        <f>IF('PV-Panelen'!F23=0,"",'PV-Panelen'!F23)</f>
        <v/>
      </c>
      <c r="CL60" s="100" t="str">
        <f>IF('PV-Panelen'!G23=0,"",'PV-Panelen'!G23)</f>
        <v/>
      </c>
      <c r="CM60" s="100" t="str">
        <f>IF('PV-Panelen'!H23=0,"",'PV-Panelen'!H23)</f>
        <v/>
      </c>
      <c r="CN60" s="100" t="str">
        <f>IF('PV-Panelen'!I23=0,"",'PV-Panelen'!I23)</f>
        <v/>
      </c>
      <c r="CO60" s="101" t="str">
        <f>IF('PV-Panelen'!J23=0,"",'PV-Panelen'!J23)</f>
        <v/>
      </c>
      <c r="CP60" s="203" t="str">
        <f ca="1">'PV-Panelen'!L23</f>
        <v/>
      </c>
      <c r="CQ60" s="74" t="str">
        <f t="array" ref="CQ60">IFERROR(INDEX($CG$39:$CG$72,SMALL(IF($CF$39:$CF$72=$H$29,ROW($2:$30)),CR60)),"")</f>
        <v/>
      </c>
      <c r="CR60" s="204">
        <v>22</v>
      </c>
    </row>
    <row r="61" spans="1:96" ht="15" customHeight="1" x14ac:dyDescent="0.2">
      <c r="A61" s="33"/>
      <c r="B61" s="85"/>
      <c r="C61" s="85"/>
      <c r="D61" s="85"/>
      <c r="E61" s="85"/>
      <c r="F61" s="85"/>
      <c r="G61" s="85"/>
      <c r="H61" s="85"/>
      <c r="I61" s="85"/>
      <c r="J61" s="85"/>
      <c r="K61" s="85"/>
      <c r="L61" s="85"/>
      <c r="M61" s="85"/>
      <c r="N61" s="85"/>
      <c r="O61" s="3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F61" s="209" t="str">
        <f>IF('PV-Panelen'!A24=0,"",'PV-Panelen'!A24)</f>
        <v/>
      </c>
      <c r="CG61" s="103" t="str">
        <f>IF('PV-Panelen'!B24=0,"",'PV-Panelen'!B24)</f>
        <v/>
      </c>
      <c r="CH61" s="103" t="str">
        <f>IF('PV-Panelen'!C24=0,"",'PV-Panelen'!C24)</f>
        <v/>
      </c>
      <c r="CI61" s="103" t="str">
        <f>IF('PV-Panelen'!D24=0,"",'PV-Panelen'!D24)</f>
        <v/>
      </c>
      <c r="CJ61" s="103" t="str">
        <f>IF('PV-Panelen'!E24=0,"",'PV-Panelen'!E24)</f>
        <v/>
      </c>
      <c r="CK61" s="103" t="str">
        <f>IF('PV-Panelen'!F24=0,"",'PV-Panelen'!F24)</f>
        <v/>
      </c>
      <c r="CL61" s="103" t="str">
        <f>IF('PV-Panelen'!G24=0,"",'PV-Panelen'!G24)</f>
        <v/>
      </c>
      <c r="CM61" s="103" t="str">
        <f>IF('PV-Panelen'!H24=0,"",'PV-Panelen'!H24)</f>
        <v/>
      </c>
      <c r="CN61" s="103" t="str">
        <f>IF('PV-Panelen'!I24=0,"",'PV-Panelen'!I24)</f>
        <v/>
      </c>
      <c r="CO61" s="104" t="str">
        <f>IF('PV-Panelen'!J24=0,"",'PV-Panelen'!J24)</f>
        <v/>
      </c>
      <c r="CP61" s="203" t="str">
        <f ca="1">'PV-Panelen'!L24</f>
        <v/>
      </c>
      <c r="CQ61" s="74" t="str">
        <f t="array" ref="CQ61">IFERROR(INDEX($CG$39:$CG$72,SMALL(IF($CF$39:$CF$72=$H$29,ROW($2:$30)),CR61)),"")</f>
        <v/>
      </c>
      <c r="CR61" s="204">
        <v>23</v>
      </c>
    </row>
    <row r="62" spans="1:96" ht="15" customHeight="1" x14ac:dyDescent="0.2">
      <c r="B62" s="211"/>
      <c r="C62" s="211"/>
      <c r="D62" s="211"/>
      <c r="E62" s="211"/>
      <c r="F62" s="211"/>
      <c r="G62" s="211"/>
      <c r="H62" s="211"/>
      <c r="I62" s="211"/>
      <c r="J62" s="211"/>
      <c r="K62" s="211"/>
      <c r="L62" s="211"/>
      <c r="M62" s="211"/>
      <c r="N62" s="211"/>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F62" s="209"/>
      <c r="CG62" s="103"/>
      <c r="CH62" s="103"/>
      <c r="CI62" s="103"/>
      <c r="CJ62" s="103"/>
      <c r="CK62" s="103"/>
      <c r="CL62" s="103"/>
      <c r="CM62" s="103"/>
      <c r="CN62" s="103"/>
      <c r="CO62" s="104"/>
      <c r="CP62" s="203"/>
      <c r="CQ62" s="74"/>
      <c r="CR62" s="204"/>
    </row>
    <row r="63" spans="1:96" ht="15" customHeight="1" x14ac:dyDescent="0.2">
      <c r="B63" s="220" t="s">
        <v>156</v>
      </c>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12"/>
      <c r="CF63" s="209"/>
      <c r="CG63" s="103"/>
      <c r="CH63" s="103"/>
      <c r="CI63" s="103"/>
      <c r="CJ63" s="103"/>
      <c r="CK63" s="103"/>
      <c r="CL63" s="103"/>
      <c r="CM63" s="103"/>
      <c r="CN63" s="103"/>
      <c r="CO63" s="104"/>
      <c r="CP63" s="203"/>
      <c r="CQ63" s="74"/>
      <c r="CR63" s="204"/>
    </row>
    <row r="64" spans="1:96" ht="15" customHeight="1" x14ac:dyDescent="0.2">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12"/>
      <c r="CF64" s="209"/>
      <c r="CG64" s="103"/>
      <c r="CH64" s="103"/>
      <c r="CI64" s="103"/>
      <c r="CJ64" s="103"/>
      <c r="CK64" s="103"/>
      <c r="CL64" s="103"/>
      <c r="CM64" s="103"/>
      <c r="CN64" s="103"/>
      <c r="CO64" s="104"/>
      <c r="CP64" s="203"/>
      <c r="CQ64" s="74"/>
      <c r="CR64" s="204"/>
    </row>
    <row r="65" spans="1:96" ht="15" customHeight="1" x14ac:dyDescent="0.2">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12"/>
      <c r="CF65" s="209"/>
      <c r="CG65" s="103"/>
      <c r="CH65" s="103"/>
      <c r="CI65" s="103"/>
      <c r="CJ65" s="103"/>
      <c r="CK65" s="103"/>
      <c r="CL65" s="103"/>
      <c r="CM65" s="103"/>
      <c r="CN65" s="103"/>
      <c r="CO65" s="104"/>
      <c r="CP65" s="203"/>
      <c r="CQ65" s="74"/>
      <c r="CR65" s="204"/>
    </row>
    <row r="66" spans="1:96" ht="15" customHeight="1" x14ac:dyDescent="0.2">
      <c r="CF66" s="99" t="str">
        <f>IF('PV-Panelen'!A25=0,"",'PV-Panelen'!A25)</f>
        <v/>
      </c>
      <c r="CG66" s="100" t="str">
        <f>IF('PV-Panelen'!B25=0,"",'PV-Panelen'!B25)</f>
        <v/>
      </c>
      <c r="CH66" s="100" t="str">
        <f>IF('PV-Panelen'!C25=0,"",'PV-Panelen'!C25)</f>
        <v/>
      </c>
      <c r="CI66" s="100" t="str">
        <f>IF('PV-Panelen'!D25=0,"",'PV-Panelen'!D25)</f>
        <v/>
      </c>
      <c r="CJ66" s="100" t="str">
        <f>IF('PV-Panelen'!E25=0,"",'PV-Panelen'!E25)</f>
        <v/>
      </c>
      <c r="CK66" s="100" t="str">
        <f>IF('PV-Panelen'!F25=0,"",'PV-Panelen'!F25)</f>
        <v/>
      </c>
      <c r="CL66" s="100" t="str">
        <f>IF('PV-Panelen'!G25=0,"",'PV-Panelen'!G25)</f>
        <v/>
      </c>
      <c r="CM66" s="100" t="str">
        <f>IF('PV-Panelen'!H25=0,"",'PV-Panelen'!H25)</f>
        <v/>
      </c>
      <c r="CN66" s="100" t="str">
        <f>IF('PV-Panelen'!I25=0,"",'PV-Panelen'!I25)</f>
        <v/>
      </c>
      <c r="CO66" s="101" t="str">
        <f>IF('PV-Panelen'!J25=0,"",'PV-Panelen'!J25)</f>
        <v/>
      </c>
      <c r="CP66" s="203" t="str">
        <f ca="1">'PV-Panelen'!L25</f>
        <v/>
      </c>
      <c r="CQ66" s="74" t="str">
        <f t="array" ref="CQ66">IFERROR(INDEX($CG$39:$CG$72,SMALL(IF($CF$39:$CF$72=$H$29,ROW($2:$30)),CR66)),"")</f>
        <v/>
      </c>
      <c r="CR66" s="204">
        <v>24</v>
      </c>
    </row>
    <row r="67" spans="1:96" ht="15" customHeight="1" x14ac:dyDescent="0.2">
      <c r="A67" s="186"/>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6"/>
      <c r="BR67" s="186"/>
      <c r="BS67" s="186"/>
      <c r="BT67" s="186"/>
      <c r="BU67" s="186"/>
      <c r="BV67" s="186"/>
      <c r="BW67" s="186"/>
      <c r="BX67" s="186"/>
      <c r="BY67" s="186"/>
      <c r="BZ67" s="186"/>
      <c r="CA67" s="186"/>
      <c r="CB67" s="186"/>
      <c r="CC67" s="186"/>
      <c r="CD67" s="186"/>
      <c r="CE67" s="186"/>
      <c r="CF67" s="209" t="str">
        <f>IF('PV-Panelen'!A26=0,"",'PV-Panelen'!A26)</f>
        <v/>
      </c>
      <c r="CG67" s="103" t="str">
        <f>IF('PV-Panelen'!B26=0,"",'PV-Panelen'!B26)</f>
        <v/>
      </c>
      <c r="CH67" s="103" t="str">
        <f>IF('PV-Panelen'!C26=0,"",'PV-Panelen'!C26)</f>
        <v/>
      </c>
      <c r="CI67" s="103" t="str">
        <f>IF('PV-Panelen'!D26=0,"",'PV-Panelen'!D26)</f>
        <v/>
      </c>
      <c r="CJ67" s="103" t="str">
        <f>IF('PV-Panelen'!E26=0,"",'PV-Panelen'!E26)</f>
        <v/>
      </c>
      <c r="CK67" s="103" t="str">
        <f>IF('PV-Panelen'!F26=0,"",'PV-Panelen'!F26)</f>
        <v/>
      </c>
      <c r="CL67" s="103" t="str">
        <f>IF('PV-Panelen'!G26=0,"",'PV-Panelen'!G26)</f>
        <v/>
      </c>
      <c r="CM67" s="103" t="str">
        <f>IF('PV-Panelen'!H26=0,"",'PV-Panelen'!H26)</f>
        <v/>
      </c>
      <c r="CN67" s="103" t="str">
        <f>IF('PV-Panelen'!I26=0,"",'PV-Panelen'!I26)</f>
        <v/>
      </c>
      <c r="CO67" s="104" t="str">
        <f>IF('PV-Panelen'!J26=0,"",'PV-Panelen'!J26)</f>
        <v/>
      </c>
      <c r="CP67" s="203" t="str">
        <f ca="1">'PV-Panelen'!L26</f>
        <v/>
      </c>
      <c r="CQ67" s="74" t="str">
        <f t="array" ref="CQ67">IFERROR(INDEX($CG$39:$CG$72,SMALL(IF($CF$39:$CF$72=$H$29,ROW($2:$30)),CR67)),"")</f>
        <v/>
      </c>
      <c r="CR67" s="204">
        <v>25</v>
      </c>
    </row>
    <row r="68" spans="1:96" ht="15" customHeight="1" x14ac:dyDescent="0.2">
      <c r="A68" s="186"/>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86"/>
      <c r="BS68" s="186"/>
      <c r="BT68" s="186"/>
      <c r="BU68" s="186"/>
      <c r="BV68" s="186"/>
      <c r="BW68" s="186"/>
      <c r="BX68" s="186"/>
      <c r="BY68" s="186"/>
      <c r="BZ68" s="186"/>
      <c r="CA68" s="186"/>
      <c r="CB68" s="186"/>
      <c r="CC68" s="186"/>
      <c r="CD68" s="186"/>
      <c r="CE68" s="186"/>
      <c r="CF68" s="99" t="str">
        <f>IF('PV-Panelen'!A27=0,"",'PV-Panelen'!A27)</f>
        <v/>
      </c>
      <c r="CG68" s="100" t="str">
        <f>IF('PV-Panelen'!B27=0,"",'PV-Panelen'!B27)</f>
        <v/>
      </c>
      <c r="CH68" s="100" t="str">
        <f>IF('PV-Panelen'!C27=0,"",'PV-Panelen'!C27)</f>
        <v/>
      </c>
      <c r="CI68" s="100" t="str">
        <f>IF('PV-Panelen'!D27=0,"",'PV-Panelen'!D27)</f>
        <v/>
      </c>
      <c r="CJ68" s="100" t="str">
        <f>IF('PV-Panelen'!E27=0,"",'PV-Panelen'!E27)</f>
        <v/>
      </c>
      <c r="CK68" s="100" t="str">
        <f>IF('PV-Panelen'!F27=0,"",'PV-Panelen'!F27)</f>
        <v/>
      </c>
      <c r="CL68" s="100" t="str">
        <f>IF('PV-Panelen'!G27=0,"",'PV-Panelen'!G27)</f>
        <v/>
      </c>
      <c r="CM68" s="100" t="str">
        <f>IF('PV-Panelen'!H27=0,"",'PV-Panelen'!H27)</f>
        <v/>
      </c>
      <c r="CN68" s="100" t="str">
        <f>IF('PV-Panelen'!I27=0,"",'PV-Panelen'!I27)</f>
        <v/>
      </c>
      <c r="CO68" s="101" t="str">
        <f>IF('PV-Panelen'!J27=0,"",'PV-Panelen'!J27)</f>
        <v/>
      </c>
      <c r="CP68" s="203" t="str">
        <f ca="1">'PV-Panelen'!L27</f>
        <v/>
      </c>
      <c r="CQ68" s="74" t="str">
        <f t="array" ref="CQ68">IFERROR(INDEX($CG$39:$CG$72,SMALL(IF($CF$39:$CF$72=$H$29,ROW($2:$30)),CR68)),"")</f>
        <v/>
      </c>
      <c r="CR68" s="204">
        <v>26</v>
      </c>
    </row>
    <row r="69" spans="1:96" ht="15" customHeight="1" x14ac:dyDescent="0.2">
      <c r="A69" s="186"/>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c r="BU69" s="186"/>
      <c r="BV69" s="186"/>
      <c r="BW69" s="186"/>
      <c r="BX69" s="186"/>
      <c r="BY69" s="186"/>
      <c r="BZ69" s="186"/>
      <c r="CA69" s="186"/>
      <c r="CB69" s="186"/>
      <c r="CC69" s="186"/>
      <c r="CD69" s="186"/>
      <c r="CE69" s="186"/>
      <c r="CF69" s="209" t="str">
        <f>IF('PV-Panelen'!A28=0,"",'PV-Panelen'!A28)</f>
        <v/>
      </c>
      <c r="CG69" s="103" t="str">
        <f>IF('PV-Panelen'!B28=0,"",'PV-Panelen'!B28)</f>
        <v/>
      </c>
      <c r="CH69" s="103" t="str">
        <f>IF('PV-Panelen'!C28=0,"",'PV-Panelen'!C28)</f>
        <v/>
      </c>
      <c r="CI69" s="103" t="str">
        <f>IF('PV-Panelen'!D28=0,"",'PV-Panelen'!D28)</f>
        <v/>
      </c>
      <c r="CJ69" s="103" t="str">
        <f>IF('PV-Panelen'!E28=0,"",'PV-Panelen'!E28)</f>
        <v/>
      </c>
      <c r="CK69" s="103" t="str">
        <f>IF('PV-Panelen'!F28=0,"",'PV-Panelen'!F28)</f>
        <v/>
      </c>
      <c r="CL69" s="103" t="str">
        <f>IF('PV-Panelen'!G28=0,"",'PV-Panelen'!G28)</f>
        <v/>
      </c>
      <c r="CM69" s="103" t="str">
        <f>IF('PV-Panelen'!H28=0,"",'PV-Panelen'!H28)</f>
        <v/>
      </c>
      <c r="CN69" s="103" t="str">
        <f>IF('PV-Panelen'!I28=0,"",'PV-Panelen'!I28)</f>
        <v/>
      </c>
      <c r="CO69" s="104" t="str">
        <f>IF('PV-Panelen'!J28=0,"",'PV-Panelen'!J28)</f>
        <v/>
      </c>
      <c r="CP69" s="203" t="str">
        <f ca="1">'PV-Panelen'!L28</f>
        <v/>
      </c>
      <c r="CQ69" s="74" t="str">
        <f t="array" ref="CQ69">IFERROR(INDEX($CG$39:$CG$72,SMALL(IF($CF$39:$CF$72=$H$29,ROW($2:$30)),CR69)),"")</f>
        <v/>
      </c>
      <c r="CR69" s="204">
        <v>27</v>
      </c>
    </row>
    <row r="70" spans="1:96" ht="15" customHeight="1" x14ac:dyDescent="0.2">
      <c r="A70" s="186"/>
      <c r="B70" s="186"/>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86"/>
      <c r="BS70" s="186"/>
      <c r="BT70" s="186"/>
      <c r="BU70" s="186"/>
      <c r="BV70" s="186"/>
      <c r="BW70" s="186"/>
      <c r="BX70" s="186"/>
      <c r="BY70" s="186"/>
      <c r="BZ70" s="186"/>
      <c r="CA70" s="186"/>
      <c r="CB70" s="186"/>
      <c r="CC70" s="186"/>
      <c r="CD70" s="186"/>
      <c r="CE70" s="186"/>
      <c r="CF70" s="99" t="str">
        <f>IF('PV-Panelen'!A29=0,"",'PV-Panelen'!A29)</f>
        <v/>
      </c>
      <c r="CG70" s="100" t="str">
        <f>IF('PV-Panelen'!B29=0,"",'PV-Panelen'!B29)</f>
        <v/>
      </c>
      <c r="CH70" s="100" t="str">
        <f>IF('PV-Panelen'!C29=0,"",'PV-Panelen'!C29)</f>
        <v/>
      </c>
      <c r="CI70" s="100" t="str">
        <f>IF('PV-Panelen'!D29=0,"",'PV-Panelen'!D29)</f>
        <v/>
      </c>
      <c r="CJ70" s="100" t="str">
        <f>IF('PV-Panelen'!E29=0,"",'PV-Panelen'!E29)</f>
        <v/>
      </c>
      <c r="CK70" s="100" t="str">
        <f>IF('PV-Panelen'!F29=0,"",'PV-Panelen'!F29)</f>
        <v/>
      </c>
      <c r="CL70" s="100" t="str">
        <f>IF('PV-Panelen'!G29=0,"",'PV-Panelen'!G29)</f>
        <v/>
      </c>
      <c r="CM70" s="100" t="str">
        <f>IF('PV-Panelen'!H29=0,"",'PV-Panelen'!H29)</f>
        <v/>
      </c>
      <c r="CN70" s="100" t="str">
        <f>IF('PV-Panelen'!I29=0,"",'PV-Panelen'!I29)</f>
        <v/>
      </c>
      <c r="CO70" s="101" t="str">
        <f>IF('PV-Panelen'!J29=0,"",'PV-Panelen'!J29)</f>
        <v/>
      </c>
      <c r="CP70" s="203" t="str">
        <f ca="1">'PV-Panelen'!L29</f>
        <v/>
      </c>
      <c r="CQ70" s="74" t="str">
        <f t="array" ref="CQ70">IFERROR(INDEX($CG$39:$CG$72,SMALL(IF($CF$39:$CF$72=$H$29,ROW($2:$30)),CR70)),"")</f>
        <v/>
      </c>
      <c r="CR70" s="204">
        <v>28</v>
      </c>
    </row>
    <row r="71" spans="1:96" ht="15" customHeight="1" x14ac:dyDescent="0.2">
      <c r="A71" s="186"/>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97"/>
      <c r="BH71" s="197"/>
      <c r="BI71" s="197"/>
      <c r="BJ71" s="197"/>
      <c r="BK71" s="197"/>
      <c r="BL71" s="197"/>
      <c r="BM71" s="197"/>
      <c r="BN71" s="197"/>
      <c r="BO71" s="197"/>
      <c r="BP71" s="197"/>
      <c r="BQ71" s="197"/>
      <c r="BR71" s="197"/>
      <c r="BS71" s="197"/>
      <c r="BT71" s="197"/>
      <c r="BU71" s="197"/>
      <c r="BV71" s="197"/>
      <c r="BW71" s="197"/>
      <c r="BX71" s="197"/>
      <c r="BY71" s="197"/>
      <c r="BZ71" s="197"/>
      <c r="CA71" s="197"/>
      <c r="CB71" s="197"/>
      <c r="CC71" s="186"/>
      <c r="CD71" s="186"/>
      <c r="CE71" s="186"/>
      <c r="CF71" s="209" t="str">
        <f>IF('PV-Panelen'!A30=0,"",'PV-Panelen'!A30)</f>
        <v/>
      </c>
      <c r="CG71" s="103" t="str">
        <f>IF('PV-Panelen'!B30=0,"",'PV-Panelen'!B30)</f>
        <v/>
      </c>
      <c r="CH71" s="103" t="str">
        <f>IF('PV-Panelen'!C30=0,"",'PV-Panelen'!C30)</f>
        <v/>
      </c>
      <c r="CI71" s="103" t="str">
        <f>IF('PV-Panelen'!D30=0,"",'PV-Panelen'!D30)</f>
        <v/>
      </c>
      <c r="CJ71" s="103" t="str">
        <f>IF('PV-Panelen'!E30=0,"",'PV-Panelen'!E30)</f>
        <v/>
      </c>
      <c r="CK71" s="103" t="str">
        <f>IF('PV-Panelen'!F30=0,"",'PV-Panelen'!F30)</f>
        <v/>
      </c>
      <c r="CL71" s="103" t="str">
        <f>IF('PV-Panelen'!G30=0,"",'PV-Panelen'!G30)</f>
        <v/>
      </c>
      <c r="CM71" s="103" t="str">
        <f>IF('PV-Panelen'!H30=0,"",'PV-Panelen'!H30)</f>
        <v/>
      </c>
      <c r="CN71" s="103" t="str">
        <f>IF('PV-Panelen'!I30=0,"",'PV-Panelen'!I30)</f>
        <v/>
      </c>
      <c r="CO71" s="104" t="str">
        <f>IF('PV-Panelen'!J30=0,"",'PV-Panelen'!J30)</f>
        <v/>
      </c>
      <c r="CP71" s="203" t="str">
        <f ca="1">'PV-Panelen'!L30</f>
        <v/>
      </c>
      <c r="CQ71" s="74" t="str">
        <f t="array" ref="CQ71">IFERROR(INDEX($CG$39:$CG$72,SMALL(IF($CF$39:$CF$72=$H$29,ROW($2:$30)),CR71)),"")</f>
        <v/>
      </c>
      <c r="CR71" s="204">
        <v>29</v>
      </c>
    </row>
    <row r="72" spans="1:96" ht="15.75" thickBot="1" x14ac:dyDescent="0.25">
      <c r="A72" s="186"/>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97"/>
      <c r="BH72" s="197"/>
      <c r="BI72" s="197"/>
      <c r="BJ72" s="197"/>
      <c r="BK72" s="197"/>
      <c r="BL72" s="197"/>
      <c r="BM72" s="197"/>
      <c r="BN72" s="197"/>
      <c r="BO72" s="197"/>
      <c r="BP72" s="197"/>
      <c r="BQ72" s="197"/>
      <c r="BR72" s="197"/>
      <c r="BS72" s="197"/>
      <c r="BT72" s="197"/>
      <c r="BU72" s="197"/>
      <c r="BV72" s="197"/>
      <c r="BW72" s="197"/>
      <c r="BX72" s="197"/>
      <c r="BY72" s="197"/>
      <c r="BZ72" s="197"/>
      <c r="CA72" s="197"/>
      <c r="CB72" s="197"/>
      <c r="CC72" s="186"/>
      <c r="CD72" s="186"/>
      <c r="CE72" s="186"/>
      <c r="CF72" s="99" t="str">
        <f>IF('PV-Panelen'!A31=0,"",'PV-Panelen'!A31)</f>
        <v/>
      </c>
      <c r="CG72" s="105" t="str">
        <f>IF('PV-Panelen'!B31=0,"",'PV-Panelen'!B31)</f>
        <v/>
      </c>
      <c r="CH72" s="105" t="str">
        <f>IF('PV-Panelen'!C31=0,"",'PV-Panelen'!C31)</f>
        <v/>
      </c>
      <c r="CI72" s="105" t="str">
        <f>IF('PV-Panelen'!D31=0,"",'PV-Panelen'!D31)</f>
        <v/>
      </c>
      <c r="CJ72" s="105" t="str">
        <f>IF('PV-Panelen'!E31=0,"",'PV-Panelen'!E31)</f>
        <v/>
      </c>
      <c r="CK72" s="105" t="str">
        <f>IF('PV-Panelen'!F31=0,"",'PV-Panelen'!F31)</f>
        <v/>
      </c>
      <c r="CL72" s="105" t="str">
        <f>IF('PV-Panelen'!G31=0,"",'PV-Panelen'!G31)</f>
        <v/>
      </c>
      <c r="CM72" s="105" t="str">
        <f>IF('PV-Panelen'!H31=0,"",'PV-Panelen'!H31)</f>
        <v/>
      </c>
      <c r="CN72" s="105" t="str">
        <f>IF('PV-Panelen'!I31=0,"",'PV-Panelen'!I31)</f>
        <v/>
      </c>
      <c r="CO72" s="106" t="str">
        <f>IF('PV-Panelen'!J31=0,"",'PV-Panelen'!J31)</f>
        <v/>
      </c>
      <c r="CP72" s="207" t="str">
        <f ca="1">'PV-Panelen'!L31</f>
        <v/>
      </c>
      <c r="CQ72" s="75" t="str">
        <f t="array" ref="CQ72">IFERROR(INDEX($CG$39:$CG$72,SMALL(IF($CF$39:$CF$72=$H$29,ROW($2:$30)),CR72)),"")</f>
        <v/>
      </c>
      <c r="CR72" s="208">
        <v>30</v>
      </c>
    </row>
    <row r="73" spans="1:96" ht="15" thickBot="1" x14ac:dyDescent="0.25">
      <c r="A73" s="186"/>
      <c r="B73" s="186"/>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86"/>
      <c r="BS73" s="186"/>
      <c r="BT73" s="186"/>
      <c r="BU73" s="186"/>
      <c r="BV73" s="186"/>
      <c r="BW73" s="186"/>
      <c r="BX73" s="186"/>
      <c r="BY73" s="186"/>
      <c r="BZ73" s="186"/>
      <c r="CA73" s="186"/>
      <c r="CB73" s="186"/>
      <c r="CC73" s="186"/>
      <c r="CD73" s="186"/>
      <c r="CE73" s="186"/>
    </row>
    <row r="74" spans="1:96" ht="14.25" customHeight="1" thickBot="1" x14ac:dyDescent="0.3">
      <c r="A74" s="186"/>
      <c r="B74" s="186"/>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6"/>
      <c r="BQ74" s="186"/>
      <c r="BR74" s="186"/>
      <c r="BS74" s="186"/>
      <c r="BT74" s="186"/>
      <c r="BU74" s="186"/>
      <c r="BV74" s="186"/>
      <c r="BW74" s="186"/>
      <c r="BX74" s="186"/>
      <c r="BY74" s="186"/>
      <c r="BZ74" s="186"/>
      <c r="CA74" s="186"/>
      <c r="CB74" s="186"/>
      <c r="CC74" s="186"/>
      <c r="CD74" s="186"/>
      <c r="CE74" s="186"/>
      <c r="CF74" s="92" t="s">
        <v>157</v>
      </c>
      <c r="CG74" s="93" t="s">
        <v>158</v>
      </c>
      <c r="CH74" s="93" t="s">
        <v>159</v>
      </c>
      <c r="CI74" s="93" t="s">
        <v>160</v>
      </c>
      <c r="CJ74" s="93" t="s">
        <v>161</v>
      </c>
      <c r="CK74" s="93" t="s">
        <v>162</v>
      </c>
      <c r="CL74" s="93" t="s">
        <v>163</v>
      </c>
      <c r="CM74" s="93" t="s">
        <v>164</v>
      </c>
      <c r="CN74" s="95" t="s">
        <v>123</v>
      </c>
      <c r="CO74" s="95" t="s">
        <v>123</v>
      </c>
      <c r="CP74" s="95" t="s">
        <v>124</v>
      </c>
    </row>
    <row r="75" spans="1:96" ht="15" customHeight="1" x14ac:dyDescent="0.2">
      <c r="A75" s="186"/>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6"/>
      <c r="BQ75" s="186"/>
      <c r="BR75" s="186"/>
      <c r="BS75" s="186"/>
      <c r="BT75" s="186"/>
      <c r="BU75" s="186"/>
      <c r="BV75" s="186"/>
      <c r="BW75" s="186"/>
      <c r="BX75" s="186"/>
      <c r="BY75" s="186"/>
      <c r="BZ75" s="186"/>
      <c r="CA75" s="186"/>
      <c r="CB75" s="186"/>
      <c r="CC75" s="186"/>
      <c r="CD75" s="186"/>
      <c r="CE75" s="186"/>
      <c r="CF75" s="102" t="str">
        <f>IF(Batterijen!A2=0,"",Batterijen!A2)</f>
        <v>SMILE 5 (2021)</v>
      </c>
      <c r="CG75" s="103" t="str">
        <f>IF(Batterijen!B2=0,"",Batterijen!B2)</f>
        <v>SMILE5-BAT</v>
      </c>
      <c r="CH75" s="103">
        <f>IF(Batterijen!C2=0,"",Batterijen!C2)</f>
        <v>51.2</v>
      </c>
      <c r="CI75" s="103">
        <f>IF(Batterijen!D2=0,"",Batterijen!D2)</f>
        <v>56</v>
      </c>
      <c r="CJ75" s="103">
        <f>IF(Batterijen!E2=0,"",Batterijen!E2)</f>
        <v>56</v>
      </c>
      <c r="CK75" s="103">
        <f>IF(Batterijen!F2=0,"",Batterijen!F2)</f>
        <v>56</v>
      </c>
      <c r="CL75" s="103">
        <f>IF(Batterijen!G2=0,"",Batterijen!G2)</f>
        <v>5.7344000000000008</v>
      </c>
      <c r="CM75" s="103">
        <f>IF(Batterijen!H2=0,"",Batterijen!H2)</f>
        <v>5.5050240000000006</v>
      </c>
      <c r="CN75" s="74" t="str">
        <f ca="1">Batterijen!K2</f>
        <v>SMILE 5 (2021)</v>
      </c>
      <c r="CO75" s="201" t="str" cm="1">
        <f t="array" ref="CO75">IFERROR(INDEX($CG$75:$CG$104,SMALL(IF($CF$75:$CF$104=$H$11,ROW($1:$30)),CP75)),"")</f>
        <v>BAT-3.8S</v>
      </c>
      <c r="CP75" s="73">
        <v>1</v>
      </c>
    </row>
    <row r="76" spans="1:96" ht="14.25" customHeight="1" x14ac:dyDescent="0.2">
      <c r="A76" s="186"/>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6"/>
      <c r="BQ76" s="186"/>
      <c r="BR76" s="186"/>
      <c r="BS76" s="186"/>
      <c r="BT76" s="186"/>
      <c r="BU76" s="186"/>
      <c r="BV76" s="186"/>
      <c r="BW76" s="186"/>
      <c r="BX76" s="186"/>
      <c r="BY76" s="186"/>
      <c r="BZ76" s="186"/>
      <c r="CA76" s="186"/>
      <c r="CB76" s="186"/>
      <c r="CC76" s="186"/>
      <c r="CD76" s="186"/>
      <c r="CE76" s="186"/>
      <c r="CF76" s="99" t="str">
        <f>IF(Batterijen!A3=0,"",Batterijen!A3)</f>
        <v>SMILE 5 (2021)</v>
      </c>
      <c r="CG76" s="100" t="str">
        <f>IF(Batterijen!B3=0,"",Batterijen!B3)</f>
        <v>M4856-P</v>
      </c>
      <c r="CH76" s="100">
        <f>IF(Batterijen!C3=0,"",Batterijen!C3)</f>
        <v>51.2</v>
      </c>
      <c r="CI76" s="100">
        <f>IF(Batterijen!D3=0,"",Batterijen!D3)</f>
        <v>56</v>
      </c>
      <c r="CJ76" s="100">
        <f>IF(Batterijen!E3=0,"",Batterijen!E3)</f>
        <v>56</v>
      </c>
      <c r="CK76" s="100">
        <f>IF(Batterijen!F3=0,"",Batterijen!F3)</f>
        <v>56</v>
      </c>
      <c r="CL76" s="100">
        <f>IF(Batterijen!G3=0,"",Batterijen!G3)</f>
        <v>2.8672000000000004</v>
      </c>
      <c r="CM76" s="100">
        <f>IF(Batterijen!H3=0,"",Batterijen!H3)</f>
        <v>2.7525120000000003</v>
      </c>
      <c r="CN76" s="74" t="str">
        <f ca="1">Batterijen!K3</f>
        <v>SMILE 5 OPTIMIZED</v>
      </c>
      <c r="CO76" s="202" t="str" cm="1">
        <f t="array" ref="CO76">IFERROR(INDEX($CG$75:$CG$104,SMALL(IF($CF$75:$CF$104=$H$11,ROW($1:$30)),CP76)),"")</f>
        <v>BAT-10.1P</v>
      </c>
      <c r="CP76" s="74">
        <v>2</v>
      </c>
    </row>
    <row r="77" spans="1:96" ht="14.25" customHeight="1" x14ac:dyDescent="0.2">
      <c r="A77" s="186"/>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6"/>
      <c r="BQ77" s="186"/>
      <c r="BR77" s="186"/>
      <c r="BS77" s="186"/>
      <c r="BT77" s="186"/>
      <c r="BU77" s="186"/>
      <c r="BV77" s="186"/>
      <c r="BW77" s="186"/>
      <c r="BX77" s="186"/>
      <c r="BY77" s="186"/>
      <c r="BZ77" s="186"/>
      <c r="CA77" s="186"/>
      <c r="CB77" s="186"/>
      <c r="CC77" s="186"/>
      <c r="CD77" s="186"/>
      <c r="CE77" s="186"/>
      <c r="CF77" s="102" t="str">
        <f>IF(Batterijen!A4=0,"",Batterijen!A4)</f>
        <v/>
      </c>
      <c r="CG77" s="103" t="str">
        <f>IF(Batterijen!B4=0,"",Batterijen!B4)</f>
        <v/>
      </c>
      <c r="CH77" s="103" t="str">
        <f>IF(Batterijen!C4=0,"",Batterijen!C4)</f>
        <v/>
      </c>
      <c r="CI77" s="103" t="str">
        <f>IF(Batterijen!D4=0,"",Batterijen!D4)</f>
        <v/>
      </c>
      <c r="CJ77" s="103" t="str">
        <f>IF(Batterijen!E4=0,"",Batterijen!E4)</f>
        <v/>
      </c>
      <c r="CK77" s="103" t="str">
        <f>IF(Batterijen!F4=0,"",Batterijen!F4)</f>
        <v/>
      </c>
      <c r="CL77" s="103" t="str">
        <f>IF(Batterijen!G4=0,"",Batterijen!G4)</f>
        <v/>
      </c>
      <c r="CM77" s="103" t="str">
        <f>IF(Batterijen!H4=0,"",Batterijen!H4)</f>
        <v/>
      </c>
      <c r="CN77" s="74" t="str">
        <f ca="1">Batterijen!K4</f>
        <v>SMILE-T10-HV</v>
      </c>
      <c r="CO77" s="74" t="str" cm="1">
        <f t="array" ref="CO77">IFERROR(INDEX($CG$75:$CG$104,SMALL(IF($CF$75:$CF$104=$H$11,ROW($2:$30)),CP77)),"")</f>
        <v/>
      </c>
      <c r="CP77" s="74">
        <v>3</v>
      </c>
    </row>
    <row r="78" spans="1:96" ht="14.25" customHeight="1" x14ac:dyDescent="0.2">
      <c r="CF78" s="99" t="str">
        <f>IF(Batterijen!A5=0,"",Batterijen!A5)</f>
        <v/>
      </c>
      <c r="CG78" s="100" t="str">
        <f>IF(Batterijen!B5=0,"",Batterijen!B5)</f>
        <v/>
      </c>
      <c r="CH78" s="100" t="str">
        <f>IF(Batterijen!C5=0,"",Batterijen!C5)</f>
        <v/>
      </c>
      <c r="CI78" s="100" t="str">
        <f>IF(Batterijen!D5=0,"",Batterijen!D5)</f>
        <v/>
      </c>
      <c r="CJ78" s="100" t="str">
        <f>IF(Batterijen!E5=0,"",Batterijen!E5)</f>
        <v/>
      </c>
      <c r="CK78" s="100" t="str">
        <f>IF(Batterijen!F5=0,"",Batterijen!F5)</f>
        <v/>
      </c>
      <c r="CL78" s="100" t="str">
        <f>IF(Batterijen!G5=0,"",Batterijen!G5)</f>
        <v/>
      </c>
      <c r="CM78" s="100" t="str">
        <f>IF(Batterijen!H5=0,"",Batterijen!H5)</f>
        <v/>
      </c>
      <c r="CN78" s="74" t="str">
        <f ca="1">Batterijen!K5</f>
        <v>SMILE-G3-S3.6</v>
      </c>
      <c r="CO78" s="74" t="str">
        <f t="array" ref="CO78">IFERROR(INDEX($CG$75:$CG$104,SMALL(IF($CF$75:$CF$104=$H$11,ROW($2:$30)),CP78)),"")</f>
        <v/>
      </c>
      <c r="CP78" s="74">
        <v>4</v>
      </c>
    </row>
    <row r="79" spans="1:96" ht="15" customHeight="1" x14ac:dyDescent="0.2">
      <c r="CF79" s="102" t="str">
        <f>IF(Batterijen!A6=0,"",Batterijen!A6)</f>
        <v>SMILE 5 OPTIMIZED</v>
      </c>
      <c r="CG79" s="103" t="str">
        <f>IF(Batterijen!B6=0,"",Batterijen!B6)</f>
        <v>SMILE5-BAT</v>
      </c>
      <c r="CH79" s="103">
        <f>IF(Batterijen!C6=0,"",Batterijen!C6)</f>
        <v>51.2</v>
      </c>
      <c r="CI79" s="103">
        <f>IF(Batterijen!D6=0,"",Batterijen!D6)</f>
        <v>56</v>
      </c>
      <c r="CJ79" s="103">
        <f>IF(Batterijen!E6=0,"",Batterijen!E6)</f>
        <v>56</v>
      </c>
      <c r="CK79" s="103">
        <f>IF(Batterijen!F6=0,"",Batterijen!F6)</f>
        <v>56</v>
      </c>
      <c r="CL79" s="103">
        <f>IF(Batterijen!G6=0,"",Batterijen!G6)</f>
        <v>5.7344000000000008</v>
      </c>
      <c r="CM79" s="103">
        <f>IF(Batterijen!H6=0,"",Batterijen!H6)</f>
        <v>5.5050240000000006</v>
      </c>
      <c r="CN79" s="74" t="str">
        <f ca="1">Batterijen!K6</f>
        <v>SMILE-G3-S5</v>
      </c>
      <c r="CO79" s="74" t="str">
        <f t="array" ref="CO79">IFERROR(INDEX($CG$75:$CG$104,SMALL(IF($CF$75:$CF$104=$H$11,ROW($2:$30)),CP79)),"")</f>
        <v/>
      </c>
      <c r="CP79" s="74">
        <v>5</v>
      </c>
    </row>
    <row r="80" spans="1:96" ht="15" customHeight="1" x14ac:dyDescent="0.2">
      <c r="CF80" s="99" t="str">
        <f>IF(Batterijen!A7=0,"",Batterijen!A7)</f>
        <v>SMILE 5 OPTIMIZED</v>
      </c>
      <c r="CG80" s="100" t="str">
        <f>IF(Batterijen!B7=0,"",Batterijen!B7)</f>
        <v>M4859-P</v>
      </c>
      <c r="CH80" s="100">
        <f>IF(Batterijen!C7=0,"",Batterijen!C7)</f>
        <v>51.2</v>
      </c>
      <c r="CI80" s="100">
        <f>IF(Batterijen!D7=0,"",Batterijen!D7)</f>
        <v>56</v>
      </c>
      <c r="CJ80" s="100">
        <f>IF(Batterijen!E7=0,"",Batterijen!E7)</f>
        <v>56</v>
      </c>
      <c r="CK80" s="100">
        <f>IF(Batterijen!F7=0,"",Batterijen!F7)</f>
        <v>56</v>
      </c>
      <c r="CL80" s="100">
        <f>IF(Batterijen!G7=0,"",Batterijen!G7)</f>
        <v>2.8672000000000004</v>
      </c>
      <c r="CM80" s="100">
        <f>IF(Batterijen!H7=0,"",Batterijen!H7)</f>
        <v>2.7525120000000003</v>
      </c>
      <c r="CN80" s="74" t="str">
        <f ca="1">Batterijen!K7</f>
        <v/>
      </c>
      <c r="CO80" s="74" t="str">
        <f t="array" ref="CO80">IFERROR(INDEX($CG$75:$CG$104,SMALL(IF($CF$75:$CF$104=$H$11,ROW($2:$30)),CP80)),"")</f>
        <v/>
      </c>
      <c r="CP80" s="74">
        <v>6</v>
      </c>
    </row>
    <row r="81" spans="84:94" ht="15" customHeight="1" x14ac:dyDescent="0.2">
      <c r="CF81" s="102" t="str">
        <f>IF(Batterijen!A8=0,"",Batterijen!A8)</f>
        <v/>
      </c>
      <c r="CG81" s="103" t="str">
        <f>IF(Batterijen!B8=0,"",Batterijen!B8)</f>
        <v/>
      </c>
      <c r="CH81" s="103" t="str">
        <f>IF(Batterijen!C8=0,"",Batterijen!C8)</f>
        <v/>
      </c>
      <c r="CI81" s="103" t="str">
        <f>IF(Batterijen!D8=0,"",Batterijen!D8)</f>
        <v/>
      </c>
      <c r="CJ81" s="103" t="str">
        <f>IF(Batterijen!E8=0,"",Batterijen!E8)</f>
        <v/>
      </c>
      <c r="CK81" s="103" t="str">
        <f>IF(Batterijen!F8=0,"",Batterijen!F8)</f>
        <v/>
      </c>
      <c r="CL81" s="103" t="str">
        <f>IF(Batterijen!G8=0,"",Batterijen!G8)</f>
        <v/>
      </c>
      <c r="CM81" s="103" t="str">
        <f>IF(Batterijen!H8=0,"",Batterijen!H8)</f>
        <v/>
      </c>
      <c r="CN81" s="74" t="str">
        <f ca="1">Batterijen!K8</f>
        <v/>
      </c>
      <c r="CO81" s="74" t="str">
        <f t="array" ref="CO81">IFERROR(INDEX($CG$75:$CG$104,SMALL(IF($CF$75:$CF$104=$H$11,ROW($2:$30)),CP81)),"")</f>
        <v/>
      </c>
      <c r="CP81" s="74">
        <v>7</v>
      </c>
    </row>
    <row r="82" spans="84:94" ht="14.25" customHeight="1" x14ac:dyDescent="0.2">
      <c r="CF82" s="99" t="str">
        <f>IF(Batterijen!A9=0,"",Batterijen!A9)</f>
        <v>SMILE-T10-HV</v>
      </c>
      <c r="CG82" s="100" t="str">
        <f>IF(Batterijen!B9=0,"",Batterijen!B9)</f>
        <v>BAT-8.2 PH</v>
      </c>
      <c r="CH82" s="100">
        <f>IF(Batterijen!C9=0,"",Batterijen!C9)</f>
        <v>256</v>
      </c>
      <c r="CI82" s="100">
        <f>IF(Batterijen!D9=0,"",Batterijen!D9)</f>
        <v>32</v>
      </c>
      <c r="CJ82" s="100">
        <f>IF(Batterijen!E9=0,"",Batterijen!E9)</f>
        <v>32</v>
      </c>
      <c r="CK82" s="100">
        <f>IF(Batterijen!F9=0,"",Batterijen!F9)</f>
        <v>32</v>
      </c>
      <c r="CL82" s="100">
        <f>IF(Batterijen!G9=0,"",Batterijen!G9)</f>
        <v>8.1920000000000002</v>
      </c>
      <c r="CM82" s="100">
        <f>IF(Batterijen!H9=0,"",Batterijen!H9)</f>
        <v>7.7824</v>
      </c>
      <c r="CN82" s="74" t="str">
        <f ca="1">Batterijen!K9</f>
        <v/>
      </c>
      <c r="CO82" s="74" t="str">
        <f t="array" ref="CO82">IFERROR(INDEX($CG$75:$CG$104,SMALL(IF($CF$75:$CF$104=$H$11,ROW($2:$30)),CP82)),"")</f>
        <v/>
      </c>
      <c r="CP82" s="74">
        <v>8</v>
      </c>
    </row>
    <row r="83" spans="84:94" ht="14.25" customHeight="1" x14ac:dyDescent="0.2">
      <c r="CF83" s="102" t="str">
        <f>IF(Batterijen!A10=0,"",Batterijen!A10)</f>
        <v/>
      </c>
      <c r="CG83" s="103" t="str">
        <f>IF(Batterijen!B10=0,"",Batterijen!B10)</f>
        <v/>
      </c>
      <c r="CH83" s="103" t="str">
        <f>IF(Batterijen!C10=0,"",Batterijen!C10)</f>
        <v/>
      </c>
      <c r="CI83" s="103" t="str">
        <f>IF(Batterijen!D10=0,"",Batterijen!D10)</f>
        <v/>
      </c>
      <c r="CJ83" s="103" t="str">
        <f>IF(Batterijen!E10=0,"",Batterijen!E10)</f>
        <v/>
      </c>
      <c r="CK83" s="103" t="str">
        <f>IF(Batterijen!F10=0,"",Batterijen!F10)</f>
        <v/>
      </c>
      <c r="CL83" s="103" t="str">
        <f>IF(Batterijen!G10=0,"",Batterijen!G10)</f>
        <v/>
      </c>
      <c r="CM83" s="103" t="str">
        <f>IF(Batterijen!H10=0,"",Batterijen!H10)</f>
        <v/>
      </c>
      <c r="CN83" s="74" t="str">
        <f ca="1">Batterijen!K10</f>
        <v/>
      </c>
      <c r="CO83" s="74" t="str">
        <f t="array" ref="CO83">IFERROR(INDEX($CG$75:$CG$104,SMALL(IF($CF$75:$CF$104=$H$11,ROW($2:$30)),CP83)),"")</f>
        <v/>
      </c>
      <c r="CP83" s="74">
        <v>9</v>
      </c>
    </row>
    <row r="84" spans="84:94" ht="14.25" customHeight="1" x14ac:dyDescent="0.2">
      <c r="CF84" s="99" t="str">
        <f>IF(Batterijen!A11=0,"",Batterijen!A11)</f>
        <v>SMILE-G3-S3.6</v>
      </c>
      <c r="CG84" s="100" t="str">
        <f>IF(Batterijen!B11=0,"",Batterijen!B11)</f>
        <v>BAT-3.8S</v>
      </c>
      <c r="CH84" s="100">
        <f>IF(Batterijen!C11=0,"",Batterijen!C11)</f>
        <v>96</v>
      </c>
      <c r="CI84" s="100">
        <f>IF(Batterijen!D11=0,"",Batterijen!D11)</f>
        <v>40</v>
      </c>
      <c r="CJ84" s="100">
        <f>IF(Batterijen!E11=0,"",Batterijen!E11)</f>
        <v>40</v>
      </c>
      <c r="CK84" s="100">
        <f>IF(Batterijen!F11=0,"",Batterijen!F11)</f>
        <v>40</v>
      </c>
      <c r="CL84" s="100">
        <f>IF(Batterijen!G11=0,"",Batterijen!G11)</f>
        <v>3.8</v>
      </c>
      <c r="CM84" s="100">
        <f>IF(Batterijen!H11=0,"",Batterijen!H11)</f>
        <v>3.61</v>
      </c>
      <c r="CN84" s="74" t="str">
        <f ca="1">Batterijen!K11</f>
        <v/>
      </c>
      <c r="CO84" s="74" t="str">
        <f t="array" ref="CO84">IFERROR(INDEX($CG$75:$CG$104,SMALL(IF($CF$75:$CF$104=$H$11,ROW($2:$30)),CP84)),"")</f>
        <v/>
      </c>
      <c r="CP84" s="74">
        <v>10</v>
      </c>
    </row>
    <row r="85" spans="84:94" ht="15" customHeight="1" x14ac:dyDescent="0.2">
      <c r="CF85" s="102" t="str">
        <f>IF(Batterijen!A12=0,"",Batterijen!A12)</f>
        <v>SMILE-G3-S3.6</v>
      </c>
      <c r="CG85" s="103" t="str">
        <f>IF(Batterijen!B12=0,"",Batterijen!B12)</f>
        <v>BAT-10.1P</v>
      </c>
      <c r="CH85" s="103">
        <f>IF(Batterijen!C12=0,"",Batterijen!C12)</f>
        <v>96</v>
      </c>
      <c r="CI85" s="103">
        <f>IF(Batterijen!D12=0,"",Batterijen!D12)</f>
        <v>52.5</v>
      </c>
      <c r="CJ85" s="103">
        <f>IF(Batterijen!E12=0,"",Batterijen!E12)</f>
        <v>52.5</v>
      </c>
      <c r="CK85" s="103">
        <f>IF(Batterijen!F12=0,"",Batterijen!F12)</f>
        <v>52.5</v>
      </c>
      <c r="CL85" s="103">
        <f>IF(Batterijen!G12=0,"",Batterijen!G12)</f>
        <v>10.1</v>
      </c>
      <c r="CM85" s="103">
        <f>IF(Batterijen!H12=0,"",Batterijen!H12)</f>
        <v>9.5949999999999989</v>
      </c>
      <c r="CN85" s="74" t="str">
        <f ca="1">Batterijen!K12</f>
        <v/>
      </c>
      <c r="CO85" s="74" t="str">
        <f t="array" ref="CO85">IFERROR(INDEX($CG$75:$CG$104,SMALL(IF($CF$75:$CF$104=$H$11,ROW($2:$30)),CP85)),"")</f>
        <v/>
      </c>
      <c r="CP85" s="74">
        <v>11</v>
      </c>
    </row>
    <row r="86" spans="84:94" ht="15" customHeight="1" x14ac:dyDescent="0.2">
      <c r="CF86" s="99" t="str">
        <f>IF(Batterijen!A13=0,"",Batterijen!A13)</f>
        <v/>
      </c>
      <c r="CG86" s="100" t="str">
        <f>IF(Batterijen!B13=0,"",Batterijen!B13)</f>
        <v/>
      </c>
      <c r="CH86" s="100" t="str">
        <f>IF(Batterijen!C13=0,"",Batterijen!C13)</f>
        <v/>
      </c>
      <c r="CI86" s="100" t="str">
        <f>IF(Batterijen!D13=0,"",Batterijen!D13)</f>
        <v/>
      </c>
      <c r="CJ86" s="100" t="str">
        <f>IF(Batterijen!E13=0,"",Batterijen!E13)</f>
        <v/>
      </c>
      <c r="CK86" s="100" t="str">
        <f>IF(Batterijen!F13=0,"",Batterijen!F13)</f>
        <v/>
      </c>
      <c r="CL86" s="100" t="str">
        <f>IF(Batterijen!G13=0,"",Batterijen!G13)</f>
        <v/>
      </c>
      <c r="CM86" s="100" t="str">
        <f>IF(Batterijen!H13=0,"",Batterijen!H13)</f>
        <v/>
      </c>
      <c r="CN86" s="74" t="str">
        <f ca="1">Batterijen!K13</f>
        <v/>
      </c>
      <c r="CO86" s="74" t="str">
        <f t="array" ref="CO86">IFERROR(INDEX($CG$75:$CG$104,SMALL(IF($CF$75:$CF$104=$H$11,ROW($2:$30)),CP86)),"")</f>
        <v/>
      </c>
      <c r="CP86" s="74">
        <v>12</v>
      </c>
    </row>
    <row r="87" spans="84:94" ht="15.75" customHeight="1" x14ac:dyDescent="0.2">
      <c r="CF87" s="102" t="str">
        <f>IF(Batterijen!A14=0,"",Batterijen!A14)</f>
        <v>SMILE-G3-S5</v>
      </c>
      <c r="CG87" s="103" t="str">
        <f>IF(Batterijen!B14=0,"",Batterijen!B14)</f>
        <v>BAT-3.8S</v>
      </c>
      <c r="CH87" s="103">
        <f>IF(Batterijen!C14=0,"",Batterijen!C14)</f>
        <v>96</v>
      </c>
      <c r="CI87" s="103">
        <f>IF(Batterijen!D14=0,"",Batterijen!D14)</f>
        <v>40</v>
      </c>
      <c r="CJ87" s="103">
        <f>IF(Batterijen!E14=0,"",Batterijen!E14)</f>
        <v>40</v>
      </c>
      <c r="CK87" s="103">
        <f>IF(Batterijen!F14=0,"",Batterijen!F14)</f>
        <v>40</v>
      </c>
      <c r="CL87" s="103">
        <f>IF(Batterijen!G14=0,"",Batterijen!G14)</f>
        <v>3.8</v>
      </c>
      <c r="CM87" s="103">
        <f>IF(Batterijen!H14=0,"",Batterijen!H14)</f>
        <v>3.61</v>
      </c>
      <c r="CN87" s="74" t="str">
        <f ca="1">Batterijen!K14</f>
        <v/>
      </c>
      <c r="CO87" s="74" t="str">
        <f t="array" ref="CO87">IFERROR(INDEX($CG$75:$CG$104,SMALL(IF($CF$75:$CF$104=$H$11,ROW($2:$30)),CP87)),"")</f>
        <v/>
      </c>
      <c r="CP87" s="74">
        <v>13</v>
      </c>
    </row>
    <row r="88" spans="84:94" ht="15" customHeight="1" x14ac:dyDescent="0.2">
      <c r="CF88" s="99" t="str">
        <f>IF(Batterijen!A15=0,"",Batterijen!A15)</f>
        <v>SMILE-G3-S5</v>
      </c>
      <c r="CG88" s="100" t="str">
        <f>IF(Batterijen!B15=0,"",Batterijen!B15)</f>
        <v>BAT-10.1P</v>
      </c>
      <c r="CH88" s="100">
        <f>IF(Batterijen!C15=0,"",Batterijen!C15)</f>
        <v>96</v>
      </c>
      <c r="CI88" s="100">
        <f>IF(Batterijen!D15=0,"",Batterijen!D15)</f>
        <v>52.5</v>
      </c>
      <c r="CJ88" s="100">
        <f>IF(Batterijen!E15=0,"",Batterijen!E15)</f>
        <v>52.5</v>
      </c>
      <c r="CK88" s="100">
        <f>IF(Batterijen!F15=0,"",Batterijen!F15)</f>
        <v>52.5</v>
      </c>
      <c r="CL88" s="100">
        <f>IF(Batterijen!G15=0,"",Batterijen!G15)</f>
        <v>10.1</v>
      </c>
      <c r="CM88" s="100">
        <f>IF(Batterijen!H15=0,"",Batterijen!H15)</f>
        <v>9.5949999999999989</v>
      </c>
      <c r="CN88" s="74" t="str">
        <f ca="1">Batterijen!K15</f>
        <v/>
      </c>
      <c r="CO88" s="74" t="str">
        <f t="array" ref="CO88">IFERROR(INDEX($CG$75:$CG$104,SMALL(IF($CF$75:$CF$104=$H$11,ROW($2:$30)),CP88)),"")</f>
        <v/>
      </c>
      <c r="CP88" s="74">
        <v>14</v>
      </c>
    </row>
    <row r="89" spans="84:94" ht="14.25" customHeight="1" x14ac:dyDescent="0.2">
      <c r="CF89" s="102" t="str">
        <f>IF(Batterijen!A16=0,"",Batterijen!A16)</f>
        <v/>
      </c>
      <c r="CG89" s="103" t="str">
        <f>IF(Batterijen!B16=0,"",Batterijen!B16)</f>
        <v/>
      </c>
      <c r="CH89" s="103" t="str">
        <f>IF(Batterijen!C16=0,"",Batterijen!C16)</f>
        <v/>
      </c>
      <c r="CI89" s="103" t="str">
        <f>IF(Batterijen!D16=0,"",Batterijen!D16)</f>
        <v/>
      </c>
      <c r="CJ89" s="103" t="str">
        <f>IF(Batterijen!E16=0,"",Batterijen!E16)</f>
        <v/>
      </c>
      <c r="CK89" s="103" t="str">
        <f>IF(Batterijen!F16=0,"",Batterijen!F16)</f>
        <v/>
      </c>
      <c r="CL89" s="103" t="str">
        <f>IF(Batterijen!G16=0,"",Batterijen!G16)</f>
        <v/>
      </c>
      <c r="CM89" s="103" t="str">
        <f>IF(Batterijen!H16=0,"",Batterijen!H16)</f>
        <v/>
      </c>
      <c r="CN89" s="74" t="str">
        <f ca="1">Batterijen!K16</f>
        <v/>
      </c>
      <c r="CO89" s="74" t="str">
        <f t="array" ref="CO89">IFERROR(INDEX($CG$75:$CG$104,SMALL(IF($CF$75:$CF$104=$H$11,ROW($2:$30)),CP89)),"")</f>
        <v/>
      </c>
      <c r="CP89" s="74">
        <v>15</v>
      </c>
    </row>
    <row r="90" spans="84:94" ht="14.25" customHeight="1" x14ac:dyDescent="0.2">
      <c r="CF90" s="99" t="str">
        <f>IF(Batterijen!A17=0,"",Batterijen!A17)</f>
        <v/>
      </c>
      <c r="CG90" s="100" t="str">
        <f>IF(Batterijen!B17=0,"",Batterijen!B17)</f>
        <v/>
      </c>
      <c r="CH90" s="100" t="str">
        <f>IF(Batterijen!C17=0,"",Batterijen!C17)</f>
        <v/>
      </c>
      <c r="CI90" s="100" t="str">
        <f>IF(Batterijen!D17=0,"",Batterijen!D17)</f>
        <v/>
      </c>
      <c r="CJ90" s="100" t="str">
        <f>IF(Batterijen!E17=0,"",Batterijen!E17)</f>
        <v/>
      </c>
      <c r="CK90" s="100" t="str">
        <f>IF(Batterijen!F17=0,"",Batterijen!F17)</f>
        <v/>
      </c>
      <c r="CL90" s="100" t="str">
        <f>IF(Batterijen!G17=0,"",Batterijen!G17)</f>
        <v/>
      </c>
      <c r="CM90" s="100" t="str">
        <f>IF(Batterijen!H17=0,"",Batterijen!H17)</f>
        <v/>
      </c>
      <c r="CN90" s="74" t="str">
        <f ca="1">Batterijen!K17</f>
        <v/>
      </c>
      <c r="CO90" s="74" t="str">
        <f t="array" ref="CO90">IFERROR(INDEX($CG$75:$CG$104,SMALL(IF($CF$75:$CF$104=$H$11,ROW($2:$30)),CP90)),"")</f>
        <v/>
      </c>
      <c r="CP90" s="74">
        <v>16</v>
      </c>
    </row>
    <row r="91" spans="84:94" ht="15" customHeight="1" x14ac:dyDescent="0.2">
      <c r="CF91" s="102" t="str">
        <f>IF(Batterijen!A18=0,"",Batterijen!A18)</f>
        <v/>
      </c>
      <c r="CG91" s="103" t="str">
        <f>IF(Batterijen!B18=0,"",Batterijen!B18)</f>
        <v/>
      </c>
      <c r="CH91" s="103" t="str">
        <f>IF(Batterijen!C18=0,"",Batterijen!C18)</f>
        <v/>
      </c>
      <c r="CI91" s="103" t="str">
        <f>IF(Batterijen!D18=0,"",Batterijen!D18)</f>
        <v/>
      </c>
      <c r="CJ91" s="103" t="str">
        <f>IF(Batterijen!E18=0,"",Batterijen!E18)</f>
        <v/>
      </c>
      <c r="CK91" s="103" t="str">
        <f>IF(Batterijen!F18=0,"",Batterijen!F18)</f>
        <v/>
      </c>
      <c r="CL91" s="103" t="str">
        <f>IF(Batterijen!G18=0,"",Batterijen!G18)</f>
        <v/>
      </c>
      <c r="CM91" s="103" t="str">
        <f>IF(Batterijen!H18=0,"",Batterijen!H18)</f>
        <v/>
      </c>
      <c r="CN91" s="74" t="str">
        <f ca="1">Batterijen!K18</f>
        <v/>
      </c>
      <c r="CO91" s="74" t="str">
        <f t="array" ref="CO91">IFERROR(INDEX($CG$75:$CG$104,SMALL(IF($CF$75:$CF$104=$H$11,ROW($2:$30)),CP91)),"")</f>
        <v/>
      </c>
      <c r="CP91" s="74">
        <v>17</v>
      </c>
    </row>
    <row r="92" spans="84:94" ht="14.25" customHeight="1" x14ac:dyDescent="0.2">
      <c r="CF92" s="99" t="str">
        <f>IF(Batterijen!A19=0,"",Batterijen!A19)</f>
        <v/>
      </c>
      <c r="CG92" s="100" t="str">
        <f>IF(Batterijen!B19=0,"",Batterijen!B19)</f>
        <v/>
      </c>
      <c r="CH92" s="100" t="str">
        <f>IF(Batterijen!C19=0,"",Batterijen!C19)</f>
        <v/>
      </c>
      <c r="CI92" s="100" t="str">
        <f>IF(Batterijen!D19=0,"",Batterijen!D19)</f>
        <v/>
      </c>
      <c r="CJ92" s="100" t="str">
        <f>IF(Batterijen!E19=0,"",Batterijen!E19)</f>
        <v/>
      </c>
      <c r="CK92" s="100" t="str">
        <f>IF(Batterijen!F19=0,"",Batterijen!F19)</f>
        <v/>
      </c>
      <c r="CL92" s="100" t="str">
        <f>IF(Batterijen!G19=0,"",Batterijen!G19)</f>
        <v/>
      </c>
      <c r="CM92" s="100" t="str">
        <f>IF(Batterijen!H19=0,"",Batterijen!H19)</f>
        <v/>
      </c>
      <c r="CN92" s="74" t="str">
        <f ca="1">Batterijen!K19</f>
        <v/>
      </c>
      <c r="CO92" s="74" t="str">
        <f t="array" ref="CO92">IFERROR(INDEX($CG$75:$CG$104,SMALL(IF($CF$75:$CF$104=$H$11,ROW($2:$30)),CP92)),"")</f>
        <v/>
      </c>
      <c r="CP92" s="74">
        <v>18</v>
      </c>
    </row>
    <row r="93" spans="84:94" ht="14.25" customHeight="1" x14ac:dyDescent="0.2">
      <c r="CF93" s="102" t="str">
        <f>IF(Batterijen!A20=0,"",Batterijen!A20)</f>
        <v/>
      </c>
      <c r="CG93" s="103" t="str">
        <f>IF(Batterijen!B20=0,"",Batterijen!B20)</f>
        <v/>
      </c>
      <c r="CH93" s="103" t="str">
        <f>IF(Batterijen!C20=0,"",Batterijen!C20)</f>
        <v/>
      </c>
      <c r="CI93" s="103" t="str">
        <f>IF(Batterijen!D20=0,"",Batterijen!D20)</f>
        <v/>
      </c>
      <c r="CJ93" s="103" t="str">
        <f>IF(Batterijen!E20=0,"",Batterijen!E20)</f>
        <v/>
      </c>
      <c r="CK93" s="103" t="str">
        <f>IF(Batterijen!F20=0,"",Batterijen!F20)</f>
        <v/>
      </c>
      <c r="CL93" s="103" t="str">
        <f>IF(Batterijen!G20=0,"",Batterijen!G20)</f>
        <v/>
      </c>
      <c r="CM93" s="103" t="str">
        <f>IF(Batterijen!H20=0,"",Batterijen!H20)</f>
        <v/>
      </c>
      <c r="CN93" s="74" t="str">
        <f ca="1">Batterijen!K20</f>
        <v/>
      </c>
      <c r="CO93" s="74" t="str">
        <f t="array" ref="CO93">IFERROR(INDEX($CG$75:$CG$104,SMALL(IF($CF$75:$CF$104=$H$11,ROW($2:$30)),CP93)),"")</f>
        <v/>
      </c>
      <c r="CP93" s="74">
        <v>19</v>
      </c>
    </row>
    <row r="94" spans="84:94" ht="15" customHeight="1" x14ac:dyDescent="0.2">
      <c r="CF94" s="99" t="str">
        <f>IF(Batterijen!A21=0,"",Batterijen!A21)</f>
        <v/>
      </c>
      <c r="CG94" s="100" t="str">
        <f>IF(Batterijen!B21=0,"",Batterijen!B21)</f>
        <v/>
      </c>
      <c r="CH94" s="100" t="str">
        <f>IF(Batterijen!C21=0,"",Batterijen!C21)</f>
        <v/>
      </c>
      <c r="CI94" s="100" t="str">
        <f>IF(Batterijen!D21=0,"",Batterijen!D21)</f>
        <v/>
      </c>
      <c r="CJ94" s="100" t="str">
        <f>IF(Batterijen!E21=0,"",Batterijen!E21)</f>
        <v/>
      </c>
      <c r="CK94" s="100" t="str">
        <f>IF(Batterijen!F21=0,"",Batterijen!F21)</f>
        <v/>
      </c>
      <c r="CL94" s="100" t="str">
        <f>IF(Batterijen!G21=0,"",Batterijen!G21)</f>
        <v/>
      </c>
      <c r="CM94" s="100" t="str">
        <f>IF(Batterijen!H21=0,"",Batterijen!H21)</f>
        <v/>
      </c>
      <c r="CN94" s="74" t="str">
        <f ca="1">Batterijen!K21</f>
        <v/>
      </c>
      <c r="CO94" s="74" t="str">
        <f t="array" ref="CO94">IFERROR(INDEX($CG$75:$CG$104,SMALL(IF($CF$75:$CF$104=$H$11,ROW($2:$30)),CP94)),"")</f>
        <v/>
      </c>
      <c r="CP94" s="74">
        <v>20</v>
      </c>
    </row>
    <row r="95" spans="84:94" ht="15" x14ac:dyDescent="0.2">
      <c r="CF95" s="102" t="str">
        <f>IF(Batterijen!A22=0,"",Batterijen!A22)</f>
        <v/>
      </c>
      <c r="CG95" s="103" t="str">
        <f>IF(Batterijen!B22=0,"",Batterijen!B22)</f>
        <v/>
      </c>
      <c r="CH95" s="103" t="str">
        <f>IF(Batterijen!C22=0,"",Batterijen!C22)</f>
        <v/>
      </c>
      <c r="CI95" s="103" t="str">
        <f>IF(Batterijen!D22=0,"",Batterijen!D22)</f>
        <v/>
      </c>
      <c r="CJ95" s="103" t="str">
        <f>IF(Batterijen!E22=0,"",Batterijen!E22)</f>
        <v/>
      </c>
      <c r="CK95" s="103" t="str">
        <f>IF(Batterijen!F22=0,"",Batterijen!F22)</f>
        <v/>
      </c>
      <c r="CL95" s="103" t="str">
        <f>IF(Batterijen!G22=0,"",Batterijen!G22)</f>
        <v/>
      </c>
      <c r="CM95" s="103" t="str">
        <f>IF(Batterijen!H22=0,"",Batterijen!H22)</f>
        <v/>
      </c>
      <c r="CN95" s="74" t="str">
        <f ca="1">Batterijen!K22</f>
        <v/>
      </c>
      <c r="CO95" s="74" t="str">
        <f t="array" ref="CO95">IFERROR(INDEX($CG$75:$CG$104,SMALL(IF($CF$75:$CF$104=$H$11,ROW($2:$30)),CP95)),"")</f>
        <v/>
      </c>
      <c r="CP95" s="74">
        <v>21</v>
      </c>
    </row>
    <row r="96" spans="84:94" ht="15" x14ac:dyDescent="0.2">
      <c r="CF96" s="99" t="str">
        <f>IF(Batterijen!A23=0,"",Batterijen!A23)</f>
        <v/>
      </c>
      <c r="CG96" s="100" t="str">
        <f>IF(Batterijen!B23=0,"",Batterijen!B23)</f>
        <v/>
      </c>
      <c r="CH96" s="100" t="str">
        <f>IF(Batterijen!C23=0,"",Batterijen!C23)</f>
        <v/>
      </c>
      <c r="CI96" s="100" t="str">
        <f>IF(Batterijen!D23=0,"",Batterijen!D23)</f>
        <v/>
      </c>
      <c r="CJ96" s="100" t="str">
        <f>IF(Batterijen!E23=0,"",Batterijen!E23)</f>
        <v/>
      </c>
      <c r="CK96" s="100" t="str">
        <f>IF(Batterijen!F23=0,"",Batterijen!F23)</f>
        <v/>
      </c>
      <c r="CL96" s="100" t="str">
        <f>IF(Batterijen!G23=0,"",Batterijen!G23)</f>
        <v/>
      </c>
      <c r="CM96" s="100" t="str">
        <f>IF(Batterijen!H23=0,"",Batterijen!H23)</f>
        <v/>
      </c>
      <c r="CN96" s="74" t="str">
        <f ca="1">Batterijen!K23</f>
        <v/>
      </c>
      <c r="CO96" s="74" t="str">
        <f t="array" ref="CO96">IFERROR(INDEX($CG$75:$CG$104,SMALL(IF($CF$75:$CF$104=$H$11,ROW($2:$30)),CP96)),"")</f>
        <v/>
      </c>
      <c r="CP96" s="74">
        <v>22</v>
      </c>
    </row>
    <row r="97" spans="84:94" ht="14.25" customHeight="1" x14ac:dyDescent="0.2">
      <c r="CF97" s="102" t="str">
        <f>IF(Batterijen!A24=0,"",Batterijen!A24)</f>
        <v/>
      </c>
      <c r="CG97" s="103" t="str">
        <f>IF(Batterijen!B24=0,"",Batterijen!B24)</f>
        <v/>
      </c>
      <c r="CH97" s="103" t="str">
        <f>IF(Batterijen!C24=0,"",Batterijen!C24)</f>
        <v/>
      </c>
      <c r="CI97" s="103" t="str">
        <f>IF(Batterijen!D24=0,"",Batterijen!D24)</f>
        <v/>
      </c>
      <c r="CJ97" s="103" t="str">
        <f>IF(Batterijen!E24=0,"",Batterijen!E24)</f>
        <v/>
      </c>
      <c r="CK97" s="103" t="str">
        <f>IF(Batterijen!F24=0,"",Batterijen!F24)</f>
        <v/>
      </c>
      <c r="CL97" s="103" t="str">
        <f>IF(Batterijen!G24=0,"",Batterijen!G24)</f>
        <v/>
      </c>
      <c r="CM97" s="103" t="str">
        <f>IF(Batterijen!H24=0,"",Batterijen!H24)</f>
        <v/>
      </c>
      <c r="CN97" s="74" t="str">
        <f ca="1">Batterijen!K24</f>
        <v/>
      </c>
      <c r="CO97" s="74" t="str">
        <f t="array" ref="CO97">IFERROR(INDEX($CG$75:$CG$104,SMALL(IF($CF$75:$CF$104=$H$11,ROW($2:$30)),CP97)),"")</f>
        <v/>
      </c>
      <c r="CP97" s="74">
        <v>23</v>
      </c>
    </row>
    <row r="98" spans="84:94" ht="14.25" customHeight="1" x14ac:dyDescent="0.2">
      <c r="CF98" s="99" t="str">
        <f>IF(Batterijen!A25=0,"",Batterijen!A25)</f>
        <v/>
      </c>
      <c r="CG98" s="100" t="str">
        <f>IF(Batterijen!B25=0,"",Batterijen!B25)</f>
        <v/>
      </c>
      <c r="CH98" s="100" t="str">
        <f>IF(Batterijen!C25=0,"",Batterijen!C25)</f>
        <v/>
      </c>
      <c r="CI98" s="100" t="str">
        <f>IF(Batterijen!D25=0,"",Batterijen!D25)</f>
        <v/>
      </c>
      <c r="CJ98" s="100" t="str">
        <f>IF(Batterijen!E25=0,"",Batterijen!E25)</f>
        <v/>
      </c>
      <c r="CK98" s="100" t="str">
        <f>IF(Batterijen!F25=0,"",Batterijen!F25)</f>
        <v/>
      </c>
      <c r="CL98" s="100" t="str">
        <f>IF(Batterijen!G25=0,"",Batterijen!G25)</f>
        <v/>
      </c>
      <c r="CM98" s="100" t="str">
        <f>IF(Batterijen!H25=0,"",Batterijen!H25)</f>
        <v/>
      </c>
      <c r="CN98" s="74" t="str">
        <f ca="1">Batterijen!K25</f>
        <v/>
      </c>
      <c r="CO98" s="74" t="str">
        <f t="array" ref="CO98">IFERROR(INDEX($CG$75:$CG$104,SMALL(IF($CF$75:$CF$104=$H$11,ROW($2:$30)),CP98)),"")</f>
        <v/>
      </c>
      <c r="CP98" s="74">
        <v>24</v>
      </c>
    </row>
    <row r="99" spans="84:94" ht="14.25" customHeight="1" x14ac:dyDescent="0.2">
      <c r="CF99" s="102" t="str">
        <f>IF(Batterijen!A26=0,"",Batterijen!A26)</f>
        <v/>
      </c>
      <c r="CG99" s="103" t="str">
        <f>IF(Batterijen!B26=0,"",Batterijen!B26)</f>
        <v/>
      </c>
      <c r="CH99" s="103" t="str">
        <f>IF(Batterijen!C26=0,"",Batterijen!C26)</f>
        <v/>
      </c>
      <c r="CI99" s="103" t="str">
        <f>IF(Batterijen!D26=0,"",Batterijen!D26)</f>
        <v/>
      </c>
      <c r="CJ99" s="103" t="str">
        <f>IF(Batterijen!E26=0,"",Batterijen!E26)</f>
        <v/>
      </c>
      <c r="CK99" s="103" t="str">
        <f>IF(Batterijen!F26=0,"",Batterijen!F26)</f>
        <v/>
      </c>
      <c r="CL99" s="103" t="str">
        <f>IF(Batterijen!G26=0,"",Batterijen!G26)</f>
        <v/>
      </c>
      <c r="CM99" s="103" t="str">
        <f>IF(Batterijen!H26=0,"",Batterijen!H26)</f>
        <v/>
      </c>
      <c r="CN99" s="74" t="str">
        <f ca="1">Batterijen!K26</f>
        <v/>
      </c>
      <c r="CO99" s="74" t="str">
        <f t="array" ref="CO99">IFERROR(INDEX($CG$75:$CG$104,SMALL(IF($CF$75:$CF$104=$H$11,ROW($2:$30)),CP99)),"")</f>
        <v/>
      </c>
      <c r="CP99" s="74">
        <v>25</v>
      </c>
    </row>
    <row r="100" spans="84:94" ht="14.25" customHeight="1" x14ac:dyDescent="0.2">
      <c r="CF100" s="99" t="str">
        <f>IF(Batterijen!A27=0,"",Batterijen!A27)</f>
        <v/>
      </c>
      <c r="CG100" s="100" t="str">
        <f>IF(Batterijen!B27=0,"",Batterijen!B27)</f>
        <v/>
      </c>
      <c r="CH100" s="100" t="str">
        <f>IF(Batterijen!C27=0,"",Batterijen!C27)</f>
        <v/>
      </c>
      <c r="CI100" s="100" t="str">
        <f>IF(Batterijen!D27=0,"",Batterijen!D27)</f>
        <v/>
      </c>
      <c r="CJ100" s="100" t="str">
        <f>IF(Batterijen!E27=0,"",Batterijen!E27)</f>
        <v/>
      </c>
      <c r="CK100" s="100" t="str">
        <f>IF(Batterijen!F27=0,"",Batterijen!F27)</f>
        <v/>
      </c>
      <c r="CL100" s="100" t="str">
        <f>IF(Batterijen!G27=0,"",Batterijen!G27)</f>
        <v/>
      </c>
      <c r="CM100" s="100" t="str">
        <f>IF(Batterijen!H27=0,"",Batterijen!H27)</f>
        <v/>
      </c>
      <c r="CN100" s="74" t="str">
        <f ca="1">Batterijen!K27</f>
        <v/>
      </c>
      <c r="CO100" s="74" t="str">
        <f t="array" ref="CO100">IFERROR(INDEX($CG$75:$CG$104,SMALL(IF($CF$75:$CF$104=$H$11,ROW($2:$30)),CP100)),"")</f>
        <v/>
      </c>
      <c r="CP100" s="74">
        <v>26</v>
      </c>
    </row>
    <row r="101" spans="84:94" ht="15" customHeight="1" x14ac:dyDescent="0.2">
      <c r="CF101" s="102" t="str">
        <f>IF(Batterijen!A28=0,"",Batterijen!A28)</f>
        <v/>
      </c>
      <c r="CG101" s="103" t="str">
        <f>IF(Batterijen!B28=0,"",Batterijen!B28)</f>
        <v/>
      </c>
      <c r="CH101" s="103" t="str">
        <f>IF(Batterijen!C28=0,"",Batterijen!C28)</f>
        <v/>
      </c>
      <c r="CI101" s="103" t="str">
        <f>IF(Batterijen!D28=0,"",Batterijen!D28)</f>
        <v/>
      </c>
      <c r="CJ101" s="103" t="str">
        <f>IF(Batterijen!E28=0,"",Batterijen!E28)</f>
        <v/>
      </c>
      <c r="CK101" s="103" t="str">
        <f>IF(Batterijen!F28=0,"",Batterijen!F28)</f>
        <v/>
      </c>
      <c r="CL101" s="103" t="str">
        <f>IF(Batterijen!G28=0,"",Batterijen!G28)</f>
        <v/>
      </c>
      <c r="CM101" s="103" t="str">
        <f>IF(Batterijen!H28=0,"",Batterijen!H28)</f>
        <v/>
      </c>
      <c r="CN101" s="74" t="str">
        <f ca="1">Batterijen!K28</f>
        <v/>
      </c>
      <c r="CO101" s="74" t="str">
        <f t="array" ref="CO101">IFERROR(INDEX($CG$75:$CG$104,SMALL(IF($CF$75:$CF$104=$H$11,ROW($2:$30)),CP101)),"")</f>
        <v/>
      </c>
      <c r="CP101" s="74">
        <v>27</v>
      </c>
    </row>
    <row r="102" spans="84:94" ht="15" x14ac:dyDescent="0.2">
      <c r="CF102" s="99" t="str">
        <f>IF(Batterijen!A29=0,"",Batterijen!A29)</f>
        <v/>
      </c>
      <c r="CG102" s="100" t="str">
        <f>IF(Batterijen!B29=0,"",Batterijen!B29)</f>
        <v/>
      </c>
      <c r="CH102" s="100" t="str">
        <f>IF(Batterijen!C29=0,"",Batterijen!C29)</f>
        <v/>
      </c>
      <c r="CI102" s="100" t="str">
        <f>IF(Batterijen!D29=0,"",Batterijen!D29)</f>
        <v/>
      </c>
      <c r="CJ102" s="100" t="str">
        <f>IF(Batterijen!E29=0,"",Batterijen!E29)</f>
        <v/>
      </c>
      <c r="CK102" s="100" t="str">
        <f>IF(Batterijen!F29=0,"",Batterijen!F29)</f>
        <v/>
      </c>
      <c r="CL102" s="100" t="str">
        <f>IF(Batterijen!G29=0,"",Batterijen!G29)</f>
        <v/>
      </c>
      <c r="CM102" s="100" t="str">
        <f>IF(Batterijen!H29=0,"",Batterijen!H29)</f>
        <v/>
      </c>
      <c r="CN102" s="74" t="str">
        <f ca="1">Batterijen!K29</f>
        <v/>
      </c>
      <c r="CO102" s="74" t="str">
        <f t="array" ref="CO102">IFERROR(INDEX($CG$75:$CG$104,SMALL(IF($CF$75:$CF$104=$H$11,ROW($2:$30)),CP102)),"")</f>
        <v/>
      </c>
      <c r="CP102" s="74">
        <v>28</v>
      </c>
    </row>
    <row r="103" spans="84:94" ht="15" x14ac:dyDescent="0.2">
      <c r="CF103" s="102" t="str">
        <f>IF(Batterijen!A30=0,"",Batterijen!A30)</f>
        <v/>
      </c>
      <c r="CG103" s="103" t="str">
        <f>IF(Batterijen!B30=0,"",Batterijen!B30)</f>
        <v/>
      </c>
      <c r="CH103" s="103" t="str">
        <f>IF(Batterijen!C30=0,"",Batterijen!C30)</f>
        <v/>
      </c>
      <c r="CI103" s="103" t="str">
        <f>IF(Batterijen!D30=0,"",Batterijen!D30)</f>
        <v/>
      </c>
      <c r="CJ103" s="103" t="str">
        <f>IF(Batterijen!E30=0,"",Batterijen!E30)</f>
        <v/>
      </c>
      <c r="CK103" s="103" t="str">
        <f>IF(Batterijen!F30=0,"",Batterijen!F30)</f>
        <v/>
      </c>
      <c r="CL103" s="103" t="str">
        <f>IF(Batterijen!G30=0,"",Batterijen!G30)</f>
        <v/>
      </c>
      <c r="CM103" s="103" t="str">
        <f>IF(Batterijen!H30=0,"",Batterijen!H30)</f>
        <v/>
      </c>
      <c r="CN103" s="74" t="str">
        <f ca="1">Batterijen!K30</f>
        <v/>
      </c>
      <c r="CO103" s="74" t="str">
        <f t="array" ref="CO103">IFERROR(INDEX($CG$75:$CG$104,SMALL(IF($CF$75:$CF$104=$H$11,ROW($2:$30)),CP103)),"")</f>
        <v/>
      </c>
      <c r="CP103" s="74">
        <v>29</v>
      </c>
    </row>
    <row r="104" spans="84:94" ht="15.75" thickBot="1" x14ac:dyDescent="0.25">
      <c r="CF104" s="99" t="str">
        <f>IF(Batterijen!A31=0,"",Batterijen!A31)</f>
        <v/>
      </c>
      <c r="CG104" s="100" t="str">
        <f>IF(Batterijen!B31=0,"",Batterijen!B31)</f>
        <v/>
      </c>
      <c r="CH104" s="100" t="str">
        <f>IF(Batterijen!C31=0,"",Batterijen!C31)</f>
        <v/>
      </c>
      <c r="CI104" s="100" t="str">
        <f>IF(Batterijen!D31=0,"",Batterijen!D31)</f>
        <v/>
      </c>
      <c r="CJ104" s="100" t="str">
        <f>IF(Batterijen!E31=0,"",Batterijen!E31)</f>
        <v/>
      </c>
      <c r="CK104" s="100" t="str">
        <f>IF(Batterijen!F31=0,"",Batterijen!F31)</f>
        <v/>
      </c>
      <c r="CL104" s="100" t="str">
        <f>IF(Batterijen!G31=0,"",Batterijen!G31)</f>
        <v/>
      </c>
      <c r="CM104" s="100" t="str">
        <f>IF(Batterijen!H31=0,"",Batterijen!H31)</f>
        <v/>
      </c>
      <c r="CN104" s="75" t="str">
        <f ca="1">Batterijen!K31</f>
        <v/>
      </c>
      <c r="CO104" s="75" t="str">
        <f t="array" ref="CO104">IFERROR(INDEX($CG$75:$CG$104,SMALL(IF($CF$75:$CF$104=$H$11,ROW($2:$30)),CP104)),"")</f>
        <v/>
      </c>
      <c r="CP104" s="75">
        <v>30</v>
      </c>
    </row>
    <row r="106" spans="84:94" ht="14.25" customHeight="1" x14ac:dyDescent="0.2"/>
    <row r="107" spans="84:94" ht="14.25" customHeight="1" x14ac:dyDescent="0.2"/>
    <row r="110" spans="84:94" ht="14.25" customHeight="1" x14ac:dyDescent="0.2"/>
    <row r="111" spans="84:94" ht="14.25" customHeight="1" x14ac:dyDescent="0.2"/>
    <row r="114" ht="14.25" customHeight="1" x14ac:dyDescent="0.2"/>
    <row r="115" ht="14.25" customHeight="1" x14ac:dyDescent="0.2"/>
  </sheetData>
  <sheetProtection algorithmName="SHA-512" hashValue="14CPdsZtXHlwpU44cmFnceQSdbXwlAjmYpS4dutvYXDC7Bky+tLejbYIQAfpiVMPyl1h0Va0trzyC2syc/eNbA==" saltValue="Gvy3NBN0Y1Xx6JYhhAoh7g==" spinCount="100000" sheet="1" objects="1" scenarios="1"/>
  <mergeCells count="146">
    <mergeCell ref="B63:CC65"/>
    <mergeCell ref="AT13:AY15"/>
    <mergeCell ref="H11:N11"/>
    <mergeCell ref="L57:O57"/>
    <mergeCell ref="BG55:BI56"/>
    <mergeCell ref="AK46:AL47"/>
    <mergeCell ref="AM46:AN47"/>
    <mergeCell ref="AK48:AL49"/>
    <mergeCell ref="AM48:AN49"/>
    <mergeCell ref="AZ46:BB47"/>
    <mergeCell ref="AZ49:BB50"/>
    <mergeCell ref="BG46:BI47"/>
    <mergeCell ref="BG49:BI50"/>
    <mergeCell ref="AT46:AU47"/>
    <mergeCell ref="AK39:AL40"/>
    <mergeCell ref="AM41:AN42"/>
    <mergeCell ref="AM39:AN40"/>
    <mergeCell ref="AK41:AL42"/>
    <mergeCell ref="AR40:AT41"/>
    <mergeCell ref="AY40:BA41"/>
    <mergeCell ref="AB31:AC31"/>
    <mergeCell ref="AG31:AO31"/>
    <mergeCell ref="AH19:AJ19"/>
    <mergeCell ref="BR43:BU43"/>
    <mergeCell ref="K18:L18"/>
    <mergeCell ref="AS20:BA20"/>
    <mergeCell ref="K21:L21"/>
    <mergeCell ref="BR12:CB12"/>
    <mergeCell ref="J20:L20"/>
    <mergeCell ref="Q35:BJ36"/>
    <mergeCell ref="AH27:AJ27"/>
    <mergeCell ref="K14:L14"/>
    <mergeCell ref="BW29:CB30"/>
    <mergeCell ref="BP29:BU30"/>
    <mergeCell ref="AA27:AC27"/>
    <mergeCell ref="K22:L22"/>
    <mergeCell ref="AD27:AF27"/>
    <mergeCell ref="K23:L23"/>
    <mergeCell ref="CB26:CC26"/>
    <mergeCell ref="BM21:BN22"/>
    <mergeCell ref="R18:AP18"/>
    <mergeCell ref="AR18:BL18"/>
    <mergeCell ref="AA20:AC20"/>
    <mergeCell ref="AG20:AO20"/>
    <mergeCell ref="J19:L19"/>
    <mergeCell ref="AB23:AC23"/>
    <mergeCell ref="A26:O27"/>
    <mergeCell ref="AR26:BL26"/>
    <mergeCell ref="B9:N10"/>
    <mergeCell ref="BR13:CB15"/>
    <mergeCell ref="R10:AP10"/>
    <mergeCell ref="AR10:CC10"/>
    <mergeCell ref="R11:AP16"/>
    <mergeCell ref="BL12:BQ12"/>
    <mergeCell ref="BD13:BI15"/>
    <mergeCell ref="BL13:BQ15"/>
    <mergeCell ref="BC12:BJ12"/>
    <mergeCell ref="AS12:AZ12"/>
    <mergeCell ref="BN44:BQ44"/>
    <mergeCell ref="BR44:BU44"/>
    <mergeCell ref="A33:O34"/>
    <mergeCell ref="J36:L36"/>
    <mergeCell ref="CF2:CI2"/>
    <mergeCell ref="BU3:CC4"/>
    <mergeCell ref="A7:O8"/>
    <mergeCell ref="Q7:CD8"/>
    <mergeCell ref="BW20:CB20"/>
    <mergeCell ref="BO21:BO22"/>
    <mergeCell ref="BP21:BU22"/>
    <mergeCell ref="BW21:CB22"/>
    <mergeCell ref="K17:L17"/>
    <mergeCell ref="AB22:AC22"/>
    <mergeCell ref="AG22:AO22"/>
    <mergeCell ref="BM20:BU20"/>
    <mergeCell ref="AA21:AC21"/>
    <mergeCell ref="AG21:AO21"/>
    <mergeCell ref="AS21:AT22"/>
    <mergeCell ref="AU21:AU22"/>
    <mergeCell ref="AV21:BA22"/>
    <mergeCell ref="BC21:BD22"/>
    <mergeCell ref="BE21:BE22"/>
    <mergeCell ref="CB18:CC18"/>
    <mergeCell ref="AD19:AF19"/>
    <mergeCell ref="AG30:AO30"/>
    <mergeCell ref="BL35:CD36"/>
    <mergeCell ref="BW28:CB28"/>
    <mergeCell ref="AB30:AC30"/>
    <mergeCell ref="BN43:BQ43"/>
    <mergeCell ref="AM19:AO19"/>
    <mergeCell ref="H29:N29"/>
    <mergeCell ref="AV39:AW40"/>
    <mergeCell ref="AD40:AF41"/>
    <mergeCell ref="J38:L38"/>
    <mergeCell ref="J39:L39"/>
    <mergeCell ref="J40:L40"/>
    <mergeCell ref="BC29:BD30"/>
    <mergeCell ref="BC28:BK28"/>
    <mergeCell ref="BM28:BU28"/>
    <mergeCell ref="H30:N30"/>
    <mergeCell ref="BE29:BE30"/>
    <mergeCell ref="Y1:BT4"/>
    <mergeCell ref="H12:N12"/>
    <mergeCell ref="J41:L41"/>
    <mergeCell ref="BC20:BK20"/>
    <mergeCell ref="BG52:BI53"/>
    <mergeCell ref="BF29:BK30"/>
    <mergeCell ref="BM29:BN30"/>
    <mergeCell ref="BO29:BO30"/>
    <mergeCell ref="AA29:AC29"/>
    <mergeCell ref="AG29:AO29"/>
    <mergeCell ref="AS29:AT30"/>
    <mergeCell ref="AM27:AO27"/>
    <mergeCell ref="AU29:AU30"/>
    <mergeCell ref="AV29:BA30"/>
    <mergeCell ref="AR46:AS47"/>
    <mergeCell ref="AA28:AC28"/>
    <mergeCell ref="AG28:AO28"/>
    <mergeCell ref="AS28:BA28"/>
    <mergeCell ref="U47:W48"/>
    <mergeCell ref="BF21:BK22"/>
    <mergeCell ref="A50:O51"/>
    <mergeCell ref="AG23:AO23"/>
    <mergeCell ref="R26:AP26"/>
    <mergeCell ref="AA19:AC19"/>
    <mergeCell ref="J60:K60"/>
    <mergeCell ref="J55:K55"/>
    <mergeCell ref="J57:K57"/>
    <mergeCell ref="J59:K59"/>
    <mergeCell ref="R45:R50"/>
    <mergeCell ref="AC52:AF52"/>
    <mergeCell ref="Q59:CD61"/>
    <mergeCell ref="BD45:BE46"/>
    <mergeCell ref="BD48:BE49"/>
    <mergeCell ref="BD51:BE52"/>
    <mergeCell ref="AR52:AS53"/>
    <mergeCell ref="AT52:AU53"/>
    <mergeCell ref="BD54:BE55"/>
    <mergeCell ref="AW47:AX49"/>
    <mergeCell ref="AW53:AX55"/>
    <mergeCell ref="AZ52:BB53"/>
    <mergeCell ref="AZ55:BB56"/>
    <mergeCell ref="AJ52:AO55"/>
    <mergeCell ref="J53:K53"/>
    <mergeCell ref="J45:L45"/>
    <mergeCell ref="J46:L46"/>
    <mergeCell ref="J47:L47"/>
  </mergeCells>
  <conditionalFormatting sqref="F12">
    <cfRule type="expression" dxfId="47" priority="8">
      <formula>$CL$16&lt;$CL$15</formula>
    </cfRule>
  </conditionalFormatting>
  <conditionalFormatting sqref="H12">
    <cfRule type="expression" dxfId="46" priority="358">
      <formula>COUNTIF($CO$75:$CO$104,$H$12)&lt;1</formula>
    </cfRule>
  </conditionalFormatting>
  <conditionalFormatting sqref="H30:N30">
    <cfRule type="expression" dxfId="45" priority="359">
      <formula>COUNTIF($CQ$39:$CQ$72,$H$30)&lt;1</formula>
    </cfRule>
  </conditionalFormatting>
  <conditionalFormatting sqref="R31:S31">
    <cfRule type="expression" dxfId="44" priority="2">
      <formula>$K$21&lt;2</formula>
    </cfRule>
  </conditionalFormatting>
  <conditionalFormatting sqref="R18:CC24">
    <cfRule type="expression" dxfId="43" priority="3">
      <formula>$K$21=0</formula>
    </cfRule>
  </conditionalFormatting>
  <conditionalFormatting sqref="R28:CC30 T31:CC31 R26:CC26 R27:AA27 AD27 AG27:AH27 AK27:AM27 AP27:CC27 R32:CC32">
    <cfRule type="expression" dxfId="42" priority="26">
      <formula>$K$21&lt;2</formula>
    </cfRule>
  </conditionalFormatting>
  <conditionalFormatting sqref="S20:AO23">
    <cfRule type="expression" dxfId="41" priority="7">
      <formula>$CB$18="Neen"</formula>
    </cfRule>
  </conditionalFormatting>
  <conditionalFormatting sqref="S28:AO31">
    <cfRule type="expression" dxfId="40" priority="1">
      <formula>$CB$26="Neen"</formula>
    </cfRule>
  </conditionalFormatting>
  <conditionalFormatting sqref="W45:AH45">
    <cfRule type="expression" dxfId="39" priority="356">
      <formula>$H$11="Storion OF5"</formula>
    </cfRule>
  </conditionalFormatting>
  <conditionalFormatting sqref="X47:AD47">
    <cfRule type="expression" dxfId="38" priority="357">
      <formula>$H$11="Storion OF5"</formula>
    </cfRule>
  </conditionalFormatting>
  <conditionalFormatting sqref="Z38:BB43">
    <cfRule type="expression" dxfId="37" priority="352">
      <formula>OR($AT$13&lt;1,$H$11="Storion OF5")</formula>
    </cfRule>
  </conditionalFormatting>
  <conditionalFormatting sqref="AA44:AE47">
    <cfRule type="expression" dxfId="36" priority="353">
      <formula>OR($AT$13&lt;1,$H$11="Storion OF5")</formula>
    </cfRule>
  </conditionalFormatting>
  <conditionalFormatting sqref="AG22">
    <cfRule type="expression" dxfId="35" priority="106">
      <formula>$AG$22="OK"</formula>
    </cfRule>
    <cfRule type="expression" dxfId="34" priority="337">
      <formula>$AG$22=$CF$37</formula>
    </cfRule>
  </conditionalFormatting>
  <conditionalFormatting sqref="AG23">
    <cfRule type="expression" dxfId="33" priority="105">
      <formula>$AG$23="OK"</formula>
    </cfRule>
    <cfRule type="expression" dxfId="32" priority="338">
      <formula>$AG$23=$CF$37</formula>
    </cfRule>
  </conditionalFormatting>
  <conditionalFormatting sqref="AG28">
    <cfRule type="expression" dxfId="31" priority="104">
      <formula>$AG$28="OK"</formula>
    </cfRule>
    <cfRule type="expression" dxfId="30" priority="103">
      <formula>$AG$28="zu hoch"</formula>
    </cfRule>
  </conditionalFormatting>
  <conditionalFormatting sqref="AG29">
    <cfRule type="expression" dxfId="29" priority="91">
      <formula>$AG$29="OK"</formula>
    </cfRule>
  </conditionalFormatting>
  <conditionalFormatting sqref="AG30">
    <cfRule type="expression" dxfId="28" priority="102">
      <formula>$AG$30="OK"</formula>
    </cfRule>
  </conditionalFormatting>
  <conditionalFormatting sqref="AG31">
    <cfRule type="expression" dxfId="27" priority="101">
      <formula>$AG$31="OK"</formula>
    </cfRule>
  </conditionalFormatting>
  <conditionalFormatting sqref="AG20:AO20">
    <cfRule type="expression" dxfId="26" priority="90">
      <formula>$AG$20="OK"</formula>
    </cfRule>
    <cfRule type="expression" dxfId="25" priority="108">
      <formula>$AG$20="zu hoch"</formula>
    </cfRule>
    <cfRule type="expression" dxfId="24" priority="339">
      <formula>$AG$20=$CF$37</formula>
    </cfRule>
    <cfRule type="expression" dxfId="23" priority="340">
      <formula>$AG$20=$CF$40</formula>
    </cfRule>
  </conditionalFormatting>
  <conditionalFormatting sqref="AG21:AO21">
    <cfRule type="expression" dxfId="22" priority="100">
      <formula>$AG$21="OK"</formula>
    </cfRule>
    <cfRule type="expression" dxfId="21" priority="317">
      <formula>$AG$21=$CF$37</formula>
    </cfRule>
    <cfRule type="expression" dxfId="20" priority="336">
      <formula>OR($AG$21="zu wenig Module in Reihe",$AG$21="zu viele Module in Reihe")</formula>
    </cfRule>
  </conditionalFormatting>
  <conditionalFormatting sqref="AG29:AO29">
    <cfRule type="expression" dxfId="19" priority="107">
      <formula>OR($AG$29="zu wenig Module in Reihe",$AG$29="zu viele Module in Reihe")</formula>
    </cfRule>
  </conditionalFormatting>
  <conditionalFormatting sqref="AO48:AP48 AV52:AX52">
    <cfRule type="expression" dxfId="18" priority="328">
      <formula>AND($BM$21&lt;2,IF($K$21&gt;1,OR($CB$26="Neen",$BM$29&lt;1),TRUE))</formula>
    </cfRule>
  </conditionalFormatting>
  <conditionalFormatting sqref="AO46:AQ46 AV46">
    <cfRule type="expression" dxfId="17" priority="25">
      <formula>OR($CB$18="Neen",$BM$21&lt;1,$K$21&lt;1)</formula>
    </cfRule>
  </conditionalFormatting>
  <conditionalFormatting sqref="AQ49:AU53">
    <cfRule type="expression" dxfId="16" priority="327">
      <formula>AND($BM$21&lt;2,IF($K$21&gt;1,OR($CB$26="Neen",$BM$29&lt;1),TRUE))</formula>
    </cfRule>
  </conditionalFormatting>
  <conditionalFormatting sqref="AR46:AU47">
    <cfRule type="expression" dxfId="15" priority="29">
      <formula>OR($CB$18="Neen",$BM$21&lt;1,$K$21&lt;1)</formula>
    </cfRule>
  </conditionalFormatting>
  <conditionalFormatting sqref="AS12:AZ15 R45:W50">
    <cfRule type="expression" dxfId="14" priority="354">
      <formula>$H$11="Storion OF5"</formula>
    </cfRule>
  </conditionalFormatting>
  <conditionalFormatting sqref="AS20:CB23">
    <cfRule type="expression" dxfId="13" priority="4">
      <formula>$CB$18="Neen"</formula>
    </cfRule>
  </conditionalFormatting>
  <conditionalFormatting sqref="AS28:CB31">
    <cfRule type="expression" dxfId="12" priority="5">
      <formula>$CB$26="Neen"</formula>
    </cfRule>
  </conditionalFormatting>
  <conditionalFormatting sqref="AW47:AX49 BD48:BE49">
    <cfRule type="expression" dxfId="11" priority="22">
      <formula>OR($CB$18="Neen",$BM$21&lt;1,$BC$21&lt;2)</formula>
    </cfRule>
  </conditionalFormatting>
  <conditionalFormatting sqref="AW53:AX55 BD54:BE55">
    <cfRule type="expression" dxfId="10" priority="333">
      <formula>IF(AND($CB$26="Ja",$K$21&gt;1),OR($CB$26="Neen",$BM$29&lt;1,$BC$29&lt;2),OR($BC$21&lt;2,$BM$21&lt;2))</formula>
    </cfRule>
  </conditionalFormatting>
  <conditionalFormatting sqref="AY46:BC47 BF46:BI47">
    <cfRule type="expression" dxfId="9" priority="23">
      <formula>OR($CB$18="Neen",$BM$21&lt;1,$K$21&lt;1)</formula>
    </cfRule>
  </conditionalFormatting>
  <conditionalFormatting sqref="AY49:BC50 BF49:BI50">
    <cfRule type="expression" dxfId="8" priority="21">
      <formula>OR($CB$18="Neen",$BM$21&lt;1,$BC$21&lt;2)</formula>
    </cfRule>
  </conditionalFormatting>
  <conditionalFormatting sqref="AY55:BC56 BF55:BI56">
    <cfRule type="expression" dxfId="7" priority="335">
      <formula>IF(AND($CB$26="Ja",$K$21&gt;1),OR($CB$26="Neen",$BM$29&lt;1,$BC$29&lt;2),OR($BC$21&lt;2,$BM$21&lt;2))</formula>
    </cfRule>
  </conditionalFormatting>
  <conditionalFormatting sqref="BD45:BE46 AW46:AX46">
    <cfRule type="expression" dxfId="6" priority="24">
      <formula>OR($CB$18="Neen",$BM$21&lt;1,$K$21&lt;1)</formula>
    </cfRule>
  </conditionalFormatting>
  <conditionalFormatting sqref="BD51:BE52 AY52:BC53 BF52:BI53">
    <cfRule type="expression" dxfId="5" priority="330">
      <formula>AND($BM$21&lt;2,IF($K$21&gt;1,OR($CB$26="Neen",$BM$29&lt;1),TRUE))</formula>
    </cfRule>
  </conditionalFormatting>
  <conditionalFormatting sqref="BM29 BM21 BL13:BQ15">
    <cfRule type="expression" dxfId="4" priority="324">
      <formula>IF(AND(CB18="Ja",K21&gt;0),BM21,0)+IF(AND(CB26="Ja",K21&gt;1),BM29,0)&gt;$K$21</formula>
    </cfRule>
  </conditionalFormatting>
  <dataValidations count="13">
    <dataValidation type="decimal" allowBlank="1" showInputMessage="1" showErrorMessage="1" errorTitle="Temperatuurcoëfficiënt" error="De temperatuurcoëfficiënt voor de stroom moet positief zijn (bijv. 0,04%/K)" sqref="J47:L47" xr:uid="{00000000-0002-0000-0000-000000000000}">
      <formula1>0</formula1>
      <formula2>1</formula2>
    </dataValidation>
    <dataValidation type="decimal" allowBlank="1" showInputMessage="1" showErrorMessage="1" errorTitle="Temperaturkoeffizient" error="Der Temperaturkoeffizient für die Spannung muss negativ sein (z.B. -0,35 %/K)" sqref="J46:L46" xr:uid="{00000000-0002-0000-0000-000001000000}">
      <formula1>-1</formula1>
      <formula2>0</formula2>
    </dataValidation>
    <dataValidation type="decimal" allowBlank="1" showInputMessage="1" showErrorMessage="1" errorTitle="Temperatuurcoëfficiënt" error="De temperatuurcoëfficiënt voor de stroom moet positief zijn (bijv. 0,04%/K)" sqref="J45:L45" xr:uid="{00000000-0002-0000-0000-000002000000}">
      <formula1>-1</formula1>
      <formula2>0</formula2>
    </dataValidation>
    <dataValidation type="list" allowBlank="1" showInputMessage="1" showErrorMessage="1" sqref="CB26:CC26 CB18:CC18" xr:uid="{00000000-0002-0000-0000-000003000000}">
      <formula1>"Ja,Neen"</formula1>
    </dataValidation>
    <dataValidation type="whole" operator="greaterThan" allowBlank="1" showInputMessage="1" showErrorMessage="1" sqref="J53:K53 J55:K55 J57:K57 AS29:AT30 AS21:AT22 BC21:BD22 BC29:BD30" xr:uid="{00000000-0002-0000-0000-000004000000}">
      <formula1>0</formula1>
    </dataValidation>
    <dataValidation type="whole" operator="greaterThanOrEqual" allowBlank="1" showInputMessage="1" showErrorMessage="1" sqref="AT13:AY15" xr:uid="{00000000-0002-0000-0000-000005000000}">
      <formula1>0</formula1>
    </dataValidation>
    <dataValidation type="list" allowBlank="1" showInputMessage="1" showErrorMessage="1" sqref="H11" xr:uid="{00000000-0002-0000-0000-000008000000}">
      <formula1>OFFSET($CN$75,,,COUNTIF($CN$75:$CN$104,"&gt;"""),)</formula1>
    </dataValidation>
    <dataValidation type="whole" allowBlank="1" showInputMessage="1" showErrorMessage="1" errorTitle="Ongeldig aantal batterijmodules" error="Het geselecteerde systeem kan deze hoeveelheid batterijen niet aan." sqref="F12" xr:uid="{00000000-0002-0000-0000-00000A000000}">
      <formula1>0</formula1>
      <formula2>CL17</formula2>
    </dataValidation>
    <dataValidation type="whole" allowBlank="1" showErrorMessage="1" errorTitle="Ongeldig aantal" error="Het aantal bezette DC-ingangen mag het aantal DC-ingangen van het systeem niet overschrijden!_x000a__x000a_Om de ingang vrij te laten, schakel stringontwerp A uit." sqref="BM21:BN22" xr:uid="{00000000-0002-0000-0000-00000B000000}">
      <formula1>0</formula1>
      <formula2>K21</formula2>
    </dataValidation>
    <dataValidation type="whole" allowBlank="1" showInputMessage="1" showErrorMessage="1" errorTitle="ongeldig aantal DC-ingangen" error="Het aantal bezette DC-ingangen mag het aantal DC-ingangen van het systeem niet overschrijden!_x000a__x000a_Om de ingang vrij te laten, schakel stringontwerp B uit." sqref="BM29:BN30" xr:uid="{00000000-0002-0000-0000-00000C000000}">
      <formula1>0</formula1>
      <formula2>K21</formula2>
    </dataValidation>
    <dataValidation type="list" allowBlank="1" showInputMessage="1" showErrorMessage="1" sqref="H12" xr:uid="{00000000-0002-0000-0000-000009000000}">
      <formula1>OFFSET($CO$75,,,COUNTIF($CO$75:$CO$104,"&gt;"""),)</formula1>
    </dataValidation>
    <dataValidation type="list" allowBlank="1" showInputMessage="1" showErrorMessage="1" sqref="H29:N29" xr:uid="{00000000-0002-0000-0000-000006000000}">
      <formula1>OFFSET($CP$39,,,COUNTIF($CP$39:$CP$72,"&gt;"""),)</formula1>
    </dataValidation>
    <dataValidation type="list" allowBlank="1" showInputMessage="1" showErrorMessage="1" sqref="H30" xr:uid="{00000000-0002-0000-0000-000007000000}">
      <formula1>OFFSET($CQ$39,,,COUNTIF($CQ$39:$CQ$72,"&gt;"""),)</formula1>
    </dataValidation>
  </dataValidations>
  <printOptions horizontalCentered="1" verticalCentered="1"/>
  <pageMargins left="0.19685039370078741" right="0.19685039370078741" top="0.59055118110236227" bottom="0.19685039370078741" header="0" footer="0.19685039370078741"/>
  <pageSetup paperSize="9" scale="46" orientation="landscape" r:id="rId1"/>
  <headerFooter>
    <oddHeader>&amp;R&amp;"Arial,Fett"&amp;18
Seite &amp;P von &amp;N</oddHeader>
  </headerFooter>
  <rowBreaks count="1" manualBreakCount="1">
    <brk id="7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0FF22-CC9C-4BF6-92FC-6CD7DDF60BF0}">
  <sheetPr codeName="Blad1"/>
  <dimension ref="A1:E70"/>
  <sheetViews>
    <sheetView workbookViewId="0">
      <selection activeCell="B24" sqref="B24"/>
    </sheetView>
  </sheetViews>
  <sheetFormatPr defaultColWidth="11.42578125" defaultRowHeight="15" x14ac:dyDescent="0.25"/>
  <cols>
    <col min="1" max="1" width="46.28515625" customWidth="1"/>
    <col min="2" max="2" width="40.140625" bestFit="1" customWidth="1"/>
    <col min="3" max="3" width="43.140625" bestFit="1" customWidth="1"/>
    <col min="4" max="4" width="48.140625" bestFit="1" customWidth="1"/>
    <col min="5" max="5" width="36.140625" bestFit="1" customWidth="1"/>
  </cols>
  <sheetData>
    <row r="1" spans="1:5" x14ac:dyDescent="0.25">
      <c r="A1" s="172" t="s">
        <v>165</v>
      </c>
      <c r="B1" s="172" t="s">
        <v>166</v>
      </c>
      <c r="C1" s="172" t="s">
        <v>167</v>
      </c>
      <c r="D1" s="172" t="s">
        <v>168</v>
      </c>
      <c r="E1" s="172" t="s">
        <v>169</v>
      </c>
    </row>
    <row r="2" spans="1:5" x14ac:dyDescent="0.25">
      <c r="A2" s="173" t="s">
        <v>170</v>
      </c>
      <c r="B2" s="173" t="s">
        <v>171</v>
      </c>
      <c r="C2" s="173" t="s">
        <v>172</v>
      </c>
      <c r="D2" s="173" t="s">
        <v>173</v>
      </c>
      <c r="E2" s="173" t="s">
        <v>174</v>
      </c>
    </row>
    <row r="3" spans="1:5" x14ac:dyDescent="0.25">
      <c r="A3" s="173" t="s">
        <v>175</v>
      </c>
      <c r="B3" s="173" t="s">
        <v>176</v>
      </c>
      <c r="C3" s="173" t="s">
        <v>177</v>
      </c>
      <c r="D3" s="173" t="s">
        <v>178</v>
      </c>
      <c r="E3" s="173" t="s">
        <v>179</v>
      </c>
    </row>
    <row r="4" spans="1:5" x14ac:dyDescent="0.25">
      <c r="A4" s="173" t="s">
        <v>180</v>
      </c>
      <c r="B4" s="173" t="s">
        <v>181</v>
      </c>
      <c r="C4" s="173" t="s">
        <v>182</v>
      </c>
      <c r="D4" s="173" t="s">
        <v>183</v>
      </c>
      <c r="E4" s="173" t="s">
        <v>184</v>
      </c>
    </row>
    <row r="5" spans="1:5" x14ac:dyDescent="0.25">
      <c r="A5" s="173" t="s">
        <v>185</v>
      </c>
      <c r="B5" s="174" t="s">
        <v>186</v>
      </c>
      <c r="C5" s="174" t="s">
        <v>187</v>
      </c>
      <c r="D5" s="174" t="s">
        <v>188</v>
      </c>
      <c r="E5" s="174" t="s">
        <v>189</v>
      </c>
    </row>
    <row r="6" spans="1:5" x14ac:dyDescent="0.25">
      <c r="A6" s="173" t="s">
        <v>190</v>
      </c>
      <c r="B6" s="174" t="s">
        <v>191</v>
      </c>
      <c r="C6" s="174" t="s">
        <v>182</v>
      </c>
      <c r="D6" s="173" t="s">
        <v>192</v>
      </c>
      <c r="E6" s="174" t="s">
        <v>184</v>
      </c>
    </row>
    <row r="7" spans="1:5" x14ac:dyDescent="0.25">
      <c r="A7" s="173" t="s">
        <v>193</v>
      </c>
      <c r="B7" s="174" t="s">
        <v>194</v>
      </c>
      <c r="C7" s="174" t="s">
        <v>195</v>
      </c>
      <c r="D7" s="174" t="s">
        <v>196</v>
      </c>
      <c r="E7" s="174" t="s">
        <v>197</v>
      </c>
    </row>
    <row r="8" spans="1:5" x14ac:dyDescent="0.25">
      <c r="A8" s="173" t="s">
        <v>198</v>
      </c>
      <c r="B8" s="174" t="s">
        <v>199</v>
      </c>
      <c r="C8" s="174" t="s">
        <v>200</v>
      </c>
      <c r="D8" s="174" t="s">
        <v>201</v>
      </c>
      <c r="E8" s="174" t="s">
        <v>202</v>
      </c>
    </row>
    <row r="9" spans="1:5" x14ac:dyDescent="0.25">
      <c r="A9" s="173" t="s">
        <v>203</v>
      </c>
      <c r="B9" s="174" t="s">
        <v>204</v>
      </c>
      <c r="C9" s="174" t="s">
        <v>205</v>
      </c>
      <c r="D9" s="174" t="s">
        <v>206</v>
      </c>
      <c r="E9" s="174" t="s">
        <v>207</v>
      </c>
    </row>
    <row r="10" spans="1:5" x14ac:dyDescent="0.25">
      <c r="A10" s="173" t="s">
        <v>208</v>
      </c>
      <c r="B10" s="174" t="s">
        <v>209</v>
      </c>
      <c r="C10" s="174" t="s">
        <v>210</v>
      </c>
      <c r="D10" s="174" t="s">
        <v>211</v>
      </c>
      <c r="E10" s="174" t="s">
        <v>212</v>
      </c>
    </row>
    <row r="11" spans="1:5" x14ac:dyDescent="0.25">
      <c r="A11" s="173" t="s">
        <v>213</v>
      </c>
      <c r="B11" s="174" t="s">
        <v>214</v>
      </c>
      <c r="C11" s="174" t="s">
        <v>215</v>
      </c>
      <c r="D11" s="174" t="s">
        <v>216</v>
      </c>
      <c r="E11" s="174" t="s">
        <v>217</v>
      </c>
    </row>
    <row r="12" spans="1:5" x14ac:dyDescent="0.25">
      <c r="A12" s="173" t="s">
        <v>218</v>
      </c>
      <c r="B12" s="174" t="s">
        <v>219</v>
      </c>
      <c r="C12" s="174" t="s">
        <v>220</v>
      </c>
      <c r="D12" s="174" t="s">
        <v>221</v>
      </c>
      <c r="E12" s="174" t="s">
        <v>222</v>
      </c>
    </row>
    <row r="13" spans="1:5" x14ac:dyDescent="0.25">
      <c r="A13" s="173" t="s">
        <v>223</v>
      </c>
      <c r="B13" s="174" t="s">
        <v>224</v>
      </c>
      <c r="C13" s="174" t="s">
        <v>225</v>
      </c>
      <c r="D13" s="174" t="s">
        <v>226</v>
      </c>
      <c r="E13" s="174" t="s">
        <v>227</v>
      </c>
    </row>
    <row r="14" spans="1:5" x14ac:dyDescent="0.25">
      <c r="A14" s="173" t="s">
        <v>228</v>
      </c>
      <c r="B14" s="174" t="s">
        <v>229</v>
      </c>
      <c r="C14" s="174" t="s">
        <v>230</v>
      </c>
      <c r="D14" s="174" t="s">
        <v>231</v>
      </c>
      <c r="E14" s="174" t="s">
        <v>232</v>
      </c>
    </row>
    <row r="15" spans="1:5" x14ac:dyDescent="0.25">
      <c r="A15" s="173" t="s">
        <v>233</v>
      </c>
      <c r="B15" s="174" t="s">
        <v>234</v>
      </c>
      <c r="C15" s="174" t="s">
        <v>235</v>
      </c>
      <c r="D15" s="174" t="s">
        <v>236</v>
      </c>
      <c r="E15" s="174" t="s">
        <v>237</v>
      </c>
    </row>
    <row r="16" spans="1:5" x14ac:dyDescent="0.25">
      <c r="A16" s="173" t="s">
        <v>238</v>
      </c>
      <c r="B16" s="173" t="s">
        <v>239</v>
      </c>
      <c r="C16" s="173" t="s">
        <v>240</v>
      </c>
      <c r="D16" s="173" t="s">
        <v>241</v>
      </c>
      <c r="E16" s="173" t="s">
        <v>242</v>
      </c>
    </row>
    <row r="17" spans="1:5" x14ac:dyDescent="0.25">
      <c r="A17" s="174" t="s">
        <v>243</v>
      </c>
      <c r="B17" s="174" t="s">
        <v>244</v>
      </c>
      <c r="C17" s="174" t="s">
        <v>245</v>
      </c>
      <c r="D17" s="174" t="s">
        <v>246</v>
      </c>
      <c r="E17" s="174" t="s">
        <v>247</v>
      </c>
    </row>
    <row r="18" spans="1:5" x14ac:dyDescent="0.25">
      <c r="A18" s="174" t="s">
        <v>248</v>
      </c>
      <c r="B18" s="174" t="s">
        <v>249</v>
      </c>
      <c r="C18" s="174" t="s">
        <v>99</v>
      </c>
      <c r="D18" s="174" t="s">
        <v>250</v>
      </c>
      <c r="E18" s="174" t="s">
        <v>251</v>
      </c>
    </row>
    <row r="19" spans="1:5" x14ac:dyDescent="0.25">
      <c r="A19" s="173" t="s">
        <v>252</v>
      </c>
      <c r="B19" s="173" t="s">
        <v>253</v>
      </c>
      <c r="C19" s="173" t="s">
        <v>254</v>
      </c>
      <c r="D19" s="173" t="s">
        <v>255</v>
      </c>
      <c r="E19" s="173" t="s">
        <v>256</v>
      </c>
    </row>
    <row r="20" spans="1:5" x14ac:dyDescent="0.25">
      <c r="A20" s="174" t="s">
        <v>257</v>
      </c>
      <c r="B20" s="174" t="s">
        <v>258</v>
      </c>
      <c r="C20" s="174" t="s">
        <v>259</v>
      </c>
      <c r="D20" s="174" t="s">
        <v>260</v>
      </c>
      <c r="E20" s="174" t="s">
        <v>261</v>
      </c>
    </row>
    <row r="21" spans="1:5" x14ac:dyDescent="0.25">
      <c r="A21" s="174" t="s">
        <v>262</v>
      </c>
      <c r="B21" s="174" t="s">
        <v>263</v>
      </c>
      <c r="C21" s="174" t="s">
        <v>264</v>
      </c>
      <c r="D21" s="174" t="s">
        <v>265</v>
      </c>
      <c r="E21" s="174" t="s">
        <v>266</v>
      </c>
    </row>
    <row r="22" spans="1:5" x14ac:dyDescent="0.25">
      <c r="A22" s="174" t="s">
        <v>267</v>
      </c>
      <c r="B22" s="174" t="s">
        <v>268</v>
      </c>
      <c r="C22" s="174" t="s">
        <v>269</v>
      </c>
      <c r="D22" s="174" t="s">
        <v>270</v>
      </c>
      <c r="E22" s="174" t="s">
        <v>271</v>
      </c>
    </row>
    <row r="23" spans="1:5" x14ac:dyDescent="0.25">
      <c r="A23" s="174" t="s">
        <v>272</v>
      </c>
      <c r="B23" s="174" t="s">
        <v>273</v>
      </c>
      <c r="C23" s="174" t="s">
        <v>274</v>
      </c>
      <c r="D23" s="174" t="s">
        <v>275</v>
      </c>
      <c r="E23" s="174" t="s">
        <v>276</v>
      </c>
    </row>
    <row r="24" spans="1:5" x14ac:dyDescent="0.25">
      <c r="A24" s="174" t="s">
        <v>277</v>
      </c>
      <c r="B24" s="174" t="s">
        <v>278</v>
      </c>
      <c r="C24" s="174" t="s">
        <v>279</v>
      </c>
      <c r="D24" s="174" t="s">
        <v>280</v>
      </c>
      <c r="E24" s="174" t="s">
        <v>281</v>
      </c>
    </row>
    <row r="25" spans="1:5" x14ac:dyDescent="0.25">
      <c r="A25" s="174" t="s">
        <v>282</v>
      </c>
      <c r="B25" s="174" t="s">
        <v>283</v>
      </c>
      <c r="C25" s="174" t="s">
        <v>284</v>
      </c>
      <c r="D25" s="174" t="s">
        <v>285</v>
      </c>
      <c r="E25" s="174" t="s">
        <v>286</v>
      </c>
    </row>
    <row r="26" spans="1:5" x14ac:dyDescent="0.25">
      <c r="A26" s="174" t="s">
        <v>287</v>
      </c>
      <c r="B26" s="174" t="s">
        <v>288</v>
      </c>
      <c r="C26" s="174" t="s">
        <v>289</v>
      </c>
      <c r="D26" s="174" t="s">
        <v>290</v>
      </c>
      <c r="E26" s="174" t="s">
        <v>290</v>
      </c>
    </row>
    <row r="27" spans="1:5" x14ac:dyDescent="0.25">
      <c r="A27" s="174" t="s">
        <v>291</v>
      </c>
      <c r="B27" s="174" t="s">
        <v>273</v>
      </c>
      <c r="C27" s="174" t="s">
        <v>274</v>
      </c>
      <c r="D27" s="174" t="s">
        <v>275</v>
      </c>
      <c r="E27" s="174" t="s">
        <v>276</v>
      </c>
    </row>
    <row r="28" spans="1:5" x14ac:dyDescent="0.25">
      <c r="A28" s="174" t="s">
        <v>292</v>
      </c>
      <c r="B28" s="174" t="s">
        <v>278</v>
      </c>
      <c r="C28" s="174" t="s">
        <v>279</v>
      </c>
      <c r="D28" s="174" t="s">
        <v>280</v>
      </c>
      <c r="E28" s="174" t="s">
        <v>281</v>
      </c>
    </row>
    <row r="29" spans="1:5" x14ac:dyDescent="0.25">
      <c r="A29" s="173" t="s">
        <v>293</v>
      </c>
      <c r="B29" s="173" t="s">
        <v>294</v>
      </c>
      <c r="C29" s="173" t="s">
        <v>295</v>
      </c>
      <c r="D29" s="173" t="s">
        <v>296</v>
      </c>
      <c r="E29" s="173" t="s">
        <v>297</v>
      </c>
    </row>
    <row r="30" spans="1:5" x14ac:dyDescent="0.25">
      <c r="A30" s="174" t="s">
        <v>298</v>
      </c>
      <c r="B30" s="174" t="s">
        <v>299</v>
      </c>
      <c r="C30" s="174" t="s">
        <v>143</v>
      </c>
      <c r="D30" s="174" t="s">
        <v>300</v>
      </c>
      <c r="E30" s="174" t="s">
        <v>301</v>
      </c>
    </row>
    <row r="31" spans="1:5" x14ac:dyDescent="0.25">
      <c r="A31" s="174" t="s">
        <v>302</v>
      </c>
      <c r="B31" s="174" t="s">
        <v>303</v>
      </c>
      <c r="C31" s="174" t="s">
        <v>304</v>
      </c>
      <c r="D31" s="174" t="s">
        <v>305</v>
      </c>
      <c r="E31" s="174" t="s">
        <v>306</v>
      </c>
    </row>
    <row r="32" spans="1:5" x14ac:dyDescent="0.25">
      <c r="A32" s="174" t="s">
        <v>307</v>
      </c>
      <c r="B32" s="174" t="s">
        <v>308</v>
      </c>
      <c r="C32" s="174" t="s">
        <v>145</v>
      </c>
      <c r="D32" s="174" t="s">
        <v>309</v>
      </c>
      <c r="E32" s="174" t="s">
        <v>310</v>
      </c>
    </row>
    <row r="33" spans="1:5" x14ac:dyDescent="0.25">
      <c r="A33" s="174" t="s">
        <v>311</v>
      </c>
      <c r="B33" s="174" t="s">
        <v>312</v>
      </c>
      <c r="C33" s="174" t="s">
        <v>313</v>
      </c>
      <c r="D33" s="174" t="s">
        <v>314</v>
      </c>
      <c r="E33" s="174" t="s">
        <v>315</v>
      </c>
    </row>
    <row r="34" spans="1:5" x14ac:dyDescent="0.25">
      <c r="A34" s="174" t="s">
        <v>316</v>
      </c>
      <c r="B34" s="174" t="s">
        <v>317</v>
      </c>
      <c r="C34" s="174" t="s">
        <v>318</v>
      </c>
      <c r="D34" s="174" t="s">
        <v>319</v>
      </c>
      <c r="E34" s="174" t="s">
        <v>320</v>
      </c>
    </row>
    <row r="35" spans="1:5" x14ac:dyDescent="0.25">
      <c r="A35" s="174" t="s">
        <v>321</v>
      </c>
      <c r="B35" s="174" t="s">
        <v>322</v>
      </c>
      <c r="C35" s="174" t="s">
        <v>323</v>
      </c>
      <c r="D35" s="174" t="s">
        <v>324</v>
      </c>
      <c r="E35" s="174" t="s">
        <v>325</v>
      </c>
    </row>
    <row r="36" spans="1:5" x14ac:dyDescent="0.25">
      <c r="A36" s="174" t="s">
        <v>326</v>
      </c>
      <c r="B36" s="174" t="s">
        <v>327</v>
      </c>
      <c r="C36" s="174" t="s">
        <v>154</v>
      </c>
      <c r="D36" s="174" t="s">
        <v>328</v>
      </c>
      <c r="E36" s="174" t="s">
        <v>329</v>
      </c>
    </row>
    <row r="37" spans="1:5" x14ac:dyDescent="0.25">
      <c r="A37" s="174" t="s">
        <v>330</v>
      </c>
      <c r="B37" s="173" t="s">
        <v>331</v>
      </c>
      <c r="C37" s="174" t="s">
        <v>332</v>
      </c>
      <c r="D37" s="174" t="s">
        <v>333</v>
      </c>
      <c r="E37" s="174" t="s">
        <v>334</v>
      </c>
    </row>
    <row r="38" spans="1:5" x14ac:dyDescent="0.25">
      <c r="A38" s="174" t="s">
        <v>335</v>
      </c>
      <c r="B38" s="174" t="s">
        <v>336</v>
      </c>
      <c r="C38" s="174" t="s">
        <v>337</v>
      </c>
      <c r="D38" s="174" t="s">
        <v>338</v>
      </c>
      <c r="E38" s="174" t="s">
        <v>339</v>
      </c>
    </row>
    <row r="39" spans="1:5" x14ac:dyDescent="0.25">
      <c r="A39" s="174" t="s">
        <v>340</v>
      </c>
      <c r="B39" s="174" t="s">
        <v>341</v>
      </c>
      <c r="C39" s="174" t="s">
        <v>342</v>
      </c>
      <c r="D39" s="174" t="s">
        <v>343</v>
      </c>
      <c r="E39" s="174" t="s">
        <v>344</v>
      </c>
    </row>
    <row r="40" spans="1:5" x14ac:dyDescent="0.25">
      <c r="A40" s="174" t="s">
        <v>345</v>
      </c>
      <c r="B40" s="174" t="s">
        <v>346</v>
      </c>
      <c r="C40" s="174" t="s">
        <v>347</v>
      </c>
      <c r="D40" s="174" t="s">
        <v>348</v>
      </c>
      <c r="E40" s="174" t="s">
        <v>349</v>
      </c>
    </row>
    <row r="41" spans="1:5" x14ac:dyDescent="0.25">
      <c r="A41" s="174" t="s">
        <v>350</v>
      </c>
      <c r="B41" s="174" t="s">
        <v>351</v>
      </c>
      <c r="C41" s="174" t="s">
        <v>63</v>
      </c>
      <c r="D41" s="174" t="s">
        <v>352</v>
      </c>
      <c r="E41" s="174" t="s">
        <v>353</v>
      </c>
    </row>
    <row r="42" spans="1:5" x14ac:dyDescent="0.25">
      <c r="A42" s="174" t="s">
        <v>354</v>
      </c>
      <c r="B42" s="174" t="s">
        <v>355</v>
      </c>
      <c r="C42" s="174" t="s">
        <v>356</v>
      </c>
      <c r="D42" s="174" t="s">
        <v>357</v>
      </c>
      <c r="E42" s="174" t="s">
        <v>358</v>
      </c>
    </row>
    <row r="43" spans="1:5" x14ac:dyDescent="0.25">
      <c r="A43" s="174" t="s">
        <v>359</v>
      </c>
      <c r="B43" s="174" t="s">
        <v>360</v>
      </c>
      <c r="C43" s="174" t="s">
        <v>361</v>
      </c>
      <c r="D43" s="174" t="s">
        <v>362</v>
      </c>
      <c r="E43" s="174" t="s">
        <v>363</v>
      </c>
    </row>
    <row r="44" spans="1:5" x14ac:dyDescent="0.25">
      <c r="A44" s="174" t="s">
        <v>364</v>
      </c>
      <c r="B44" s="174" t="s">
        <v>365</v>
      </c>
      <c r="C44" s="174" t="s">
        <v>366</v>
      </c>
      <c r="D44" s="174" t="s">
        <v>367</v>
      </c>
      <c r="E44" s="174" t="s">
        <v>368</v>
      </c>
    </row>
    <row r="45" spans="1:5" x14ac:dyDescent="0.25">
      <c r="A45" s="174" t="s">
        <v>369</v>
      </c>
      <c r="B45" s="174" t="s">
        <v>370</v>
      </c>
      <c r="C45" s="174" t="s">
        <v>14</v>
      </c>
      <c r="D45" s="174" t="s">
        <v>371</v>
      </c>
      <c r="E45" s="174" t="s">
        <v>372</v>
      </c>
    </row>
    <row r="46" spans="1:5" x14ac:dyDescent="0.25">
      <c r="A46" s="174" t="s">
        <v>373</v>
      </c>
      <c r="B46" s="174" t="s">
        <v>374</v>
      </c>
      <c r="C46" s="174" t="s">
        <v>375</v>
      </c>
      <c r="D46" s="174" t="s">
        <v>376</v>
      </c>
      <c r="E46" s="174" t="s">
        <v>377</v>
      </c>
    </row>
    <row r="47" spans="1:5" x14ac:dyDescent="0.25">
      <c r="A47" s="174" t="s">
        <v>378</v>
      </c>
      <c r="B47" s="174" t="s">
        <v>379</v>
      </c>
      <c r="C47" s="174" t="s">
        <v>380</v>
      </c>
      <c r="D47" s="174" t="s">
        <v>381</v>
      </c>
      <c r="E47" s="174" t="s">
        <v>382</v>
      </c>
    </row>
    <row r="48" spans="1:5" x14ac:dyDescent="0.25">
      <c r="A48" s="174" t="s">
        <v>383</v>
      </c>
      <c r="B48" s="174" t="s">
        <v>384</v>
      </c>
      <c r="C48" s="174" t="s">
        <v>17</v>
      </c>
      <c r="D48" s="174" t="s">
        <v>385</v>
      </c>
      <c r="E48" s="174" t="s">
        <v>386</v>
      </c>
    </row>
    <row r="49" spans="1:5" x14ac:dyDescent="0.25">
      <c r="A49" s="174" t="s">
        <v>387</v>
      </c>
      <c r="B49" s="174" t="s">
        <v>388</v>
      </c>
      <c r="C49" s="174" t="s">
        <v>389</v>
      </c>
      <c r="D49" s="174" t="s">
        <v>390</v>
      </c>
      <c r="E49" s="174" t="s">
        <v>390</v>
      </c>
    </row>
    <row r="50" spans="1:5" x14ac:dyDescent="0.25">
      <c r="A50" s="174" t="s">
        <v>391</v>
      </c>
      <c r="B50" s="174" t="s">
        <v>392</v>
      </c>
      <c r="C50" s="174" t="s">
        <v>393</v>
      </c>
      <c r="D50" s="174" t="s">
        <v>394</v>
      </c>
      <c r="E50" s="174" t="s">
        <v>395</v>
      </c>
    </row>
    <row r="51" spans="1:5" x14ac:dyDescent="0.25">
      <c r="A51" s="174" t="s">
        <v>396</v>
      </c>
      <c r="B51" s="174" t="s">
        <v>397</v>
      </c>
      <c r="C51" s="174" t="s">
        <v>398</v>
      </c>
      <c r="D51" s="174" t="s">
        <v>399</v>
      </c>
      <c r="E51" s="174" t="s">
        <v>400</v>
      </c>
    </row>
    <row r="52" spans="1:5" x14ac:dyDescent="0.25">
      <c r="A52" s="174" t="s">
        <v>401</v>
      </c>
      <c r="B52" s="174" t="s">
        <v>402</v>
      </c>
      <c r="C52" s="174" t="s">
        <v>403</v>
      </c>
      <c r="D52" s="174" t="s">
        <v>404</v>
      </c>
      <c r="E52" s="174" t="s">
        <v>405</v>
      </c>
    </row>
    <row r="53" spans="1:5" x14ac:dyDescent="0.25">
      <c r="A53" s="174" t="s">
        <v>406</v>
      </c>
      <c r="B53" s="174" t="s">
        <v>407</v>
      </c>
      <c r="C53" s="174" t="s">
        <v>40</v>
      </c>
      <c r="D53" s="174" t="s">
        <v>408</v>
      </c>
      <c r="E53" s="174" t="s">
        <v>409</v>
      </c>
    </row>
    <row r="54" spans="1:5" x14ac:dyDescent="0.25">
      <c r="A54" s="174" t="s">
        <v>410</v>
      </c>
      <c r="B54" s="174" t="s">
        <v>411</v>
      </c>
      <c r="C54" s="174" t="s">
        <v>41</v>
      </c>
      <c r="D54" s="174" t="s">
        <v>412</v>
      </c>
      <c r="E54" s="174" t="s">
        <v>413</v>
      </c>
    </row>
    <row r="55" spans="1:5" x14ac:dyDescent="0.25">
      <c r="A55" s="174" t="s">
        <v>414</v>
      </c>
      <c r="B55" s="174" t="s">
        <v>84</v>
      </c>
      <c r="C55" s="174" t="s">
        <v>415</v>
      </c>
      <c r="D55" s="174" t="s">
        <v>416</v>
      </c>
      <c r="E55" s="174" t="s">
        <v>417</v>
      </c>
    </row>
    <row r="56" spans="1:5" x14ac:dyDescent="0.25">
      <c r="A56" s="174" t="s">
        <v>418</v>
      </c>
      <c r="B56" s="174" t="s">
        <v>419</v>
      </c>
      <c r="C56" s="174" t="s">
        <v>420</v>
      </c>
      <c r="D56" s="174" t="s">
        <v>421</v>
      </c>
      <c r="E56" s="174" t="s">
        <v>422</v>
      </c>
    </row>
    <row r="57" spans="1:5" x14ac:dyDescent="0.25">
      <c r="A57" s="174" t="s">
        <v>423</v>
      </c>
      <c r="B57" s="174" t="s">
        <v>424</v>
      </c>
      <c r="C57" s="174" t="s">
        <v>138</v>
      </c>
      <c r="D57" s="174" t="s">
        <v>425</v>
      </c>
      <c r="E57" s="174" t="s">
        <v>426</v>
      </c>
    </row>
    <row r="58" spans="1:5" x14ac:dyDescent="0.25">
      <c r="A58" s="174" t="s">
        <v>427</v>
      </c>
      <c r="B58" s="174" t="s">
        <v>428</v>
      </c>
      <c r="C58" s="174" t="s">
        <v>429</v>
      </c>
      <c r="D58" s="174" t="s">
        <v>430</v>
      </c>
      <c r="E58" s="174" t="s">
        <v>431</v>
      </c>
    </row>
    <row r="59" spans="1:5" x14ac:dyDescent="0.25">
      <c r="A59" s="174" t="s">
        <v>432</v>
      </c>
      <c r="B59" s="174" t="s">
        <v>433</v>
      </c>
      <c r="C59" s="174" t="s">
        <v>110</v>
      </c>
      <c r="D59" s="174" t="s">
        <v>434</v>
      </c>
      <c r="E59" s="174" t="s">
        <v>435</v>
      </c>
    </row>
    <row r="60" spans="1:5" x14ac:dyDescent="0.25">
      <c r="A60" s="174" t="s">
        <v>436</v>
      </c>
      <c r="B60" s="174" t="s">
        <v>437</v>
      </c>
      <c r="C60" s="174" t="s">
        <v>438</v>
      </c>
      <c r="D60" s="174" t="s">
        <v>439</v>
      </c>
      <c r="E60" s="174" t="s">
        <v>440</v>
      </c>
    </row>
    <row r="61" spans="1:5" x14ac:dyDescent="0.25">
      <c r="A61" s="174" t="s">
        <v>441</v>
      </c>
      <c r="B61" s="174" t="s">
        <v>442</v>
      </c>
      <c r="C61" s="174" t="s">
        <v>111</v>
      </c>
      <c r="D61" s="174" t="s">
        <v>443</v>
      </c>
      <c r="E61" s="174" t="s">
        <v>444</v>
      </c>
    </row>
    <row r="62" spans="1:5" x14ac:dyDescent="0.25">
      <c r="A62" s="174" t="s">
        <v>445</v>
      </c>
      <c r="B62" s="174" t="s">
        <v>112</v>
      </c>
      <c r="C62" s="174" t="s">
        <v>112</v>
      </c>
      <c r="D62" s="174" t="s">
        <v>112</v>
      </c>
      <c r="E62" s="174" t="s">
        <v>112</v>
      </c>
    </row>
    <row r="63" spans="1:5" x14ac:dyDescent="0.25">
      <c r="A63" s="174" t="s">
        <v>446</v>
      </c>
      <c r="B63" s="174" t="s">
        <v>447</v>
      </c>
      <c r="C63" s="174" t="s">
        <v>127</v>
      </c>
      <c r="D63" s="174" t="s">
        <v>448</v>
      </c>
      <c r="E63" s="174" t="s">
        <v>449</v>
      </c>
    </row>
    <row r="64" spans="1:5" x14ac:dyDescent="0.25">
      <c r="A64" s="174" t="s">
        <v>450</v>
      </c>
      <c r="B64" s="174" t="s">
        <v>451</v>
      </c>
      <c r="C64" s="174" t="s">
        <v>131</v>
      </c>
      <c r="D64" s="174" t="s">
        <v>452</v>
      </c>
      <c r="E64" s="174" t="s">
        <v>453</v>
      </c>
    </row>
    <row r="65" spans="1:5" x14ac:dyDescent="0.25">
      <c r="A65" s="174"/>
      <c r="B65" s="174" t="s">
        <v>62</v>
      </c>
      <c r="C65" s="174" t="s">
        <v>454</v>
      </c>
      <c r="D65" s="174" t="s">
        <v>455</v>
      </c>
      <c r="E65" s="174" t="s">
        <v>455</v>
      </c>
    </row>
    <row r="66" spans="1:5" x14ac:dyDescent="0.25">
      <c r="A66" s="174"/>
      <c r="B66" s="174" t="s">
        <v>456</v>
      </c>
      <c r="C66" s="174" t="s">
        <v>456</v>
      </c>
      <c r="D66" s="174" t="s">
        <v>457</v>
      </c>
      <c r="E66" s="174" t="s">
        <v>458</v>
      </c>
    </row>
    <row r="67" spans="1:5" x14ac:dyDescent="0.25">
      <c r="A67" s="174"/>
      <c r="B67" s="174" t="s">
        <v>459</v>
      </c>
      <c r="C67" s="174" t="s">
        <v>460</v>
      </c>
      <c r="D67" s="174" t="s">
        <v>461</v>
      </c>
      <c r="E67" s="174" t="s">
        <v>462</v>
      </c>
    </row>
    <row r="68" spans="1:5" ht="90" x14ac:dyDescent="0.25">
      <c r="A68" s="174" t="s">
        <v>463</v>
      </c>
      <c r="B68" s="174" t="s">
        <v>464</v>
      </c>
      <c r="C68" s="175" t="s">
        <v>465</v>
      </c>
      <c r="D68" s="175" t="s">
        <v>466</v>
      </c>
      <c r="E68" s="175" t="s">
        <v>467</v>
      </c>
    </row>
    <row r="69" spans="1:5" ht="60" x14ac:dyDescent="0.25">
      <c r="A69" s="174" t="s">
        <v>468</v>
      </c>
      <c r="B69" s="174" t="s">
        <v>469</v>
      </c>
      <c r="C69" s="175" t="s">
        <v>470</v>
      </c>
      <c r="D69" s="175" t="s">
        <v>471</v>
      </c>
      <c r="E69" s="175" t="s">
        <v>472</v>
      </c>
    </row>
    <row r="70" spans="1:5" ht="60" x14ac:dyDescent="0.25">
      <c r="A70" s="174" t="s">
        <v>473</v>
      </c>
      <c r="B70" s="174" t="s">
        <v>474</v>
      </c>
      <c r="C70" s="175" t="s">
        <v>475</v>
      </c>
      <c r="D70" s="175" t="s">
        <v>476</v>
      </c>
      <c r="E70" s="175" t="s">
        <v>477</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U33"/>
  <sheetViews>
    <sheetView zoomScale="115" zoomScaleNormal="115" workbookViewId="0">
      <selection activeCell="O27" sqref="O27"/>
    </sheetView>
  </sheetViews>
  <sheetFormatPr defaultColWidth="11.28515625" defaultRowHeight="15" x14ac:dyDescent="0.25"/>
  <cols>
    <col min="1" max="1" width="17.42578125" style="115" bestFit="1" customWidth="1"/>
    <col min="2" max="2" width="21.28515625" style="115" bestFit="1" customWidth="1"/>
    <col min="3" max="10" width="11.28515625" style="115"/>
    <col min="11" max="11" width="5.28515625" style="115" customWidth="1"/>
    <col min="12" max="12" width="17.42578125" style="115" hidden="1" customWidth="1"/>
    <col min="13" max="13" width="2.85546875" style="115" customWidth="1"/>
    <col min="14" max="14" width="20.42578125" style="115" bestFit="1" customWidth="1"/>
    <col min="15" max="15" width="12.28515625" style="115" customWidth="1"/>
    <col min="16" max="16" width="2.42578125" style="115" customWidth="1"/>
    <col min="17" max="17" width="12.42578125" style="115" bestFit="1" customWidth="1"/>
    <col min="18" max="18" width="2" style="115" customWidth="1"/>
    <col min="19" max="19" width="11.28515625" style="115"/>
    <col min="20" max="23" width="3" style="115" customWidth="1"/>
    <col min="24" max="16384" width="11.28515625" style="115"/>
  </cols>
  <sheetData>
    <row r="1" spans="1:21" ht="15.75" thickBot="1" x14ac:dyDescent="0.3">
      <c r="A1" s="107" t="s">
        <v>113</v>
      </c>
      <c r="B1" s="108" t="s">
        <v>114</v>
      </c>
      <c r="C1" s="108" t="s">
        <v>115</v>
      </c>
      <c r="D1" s="108" t="s">
        <v>116</v>
      </c>
      <c r="E1" s="108" t="s">
        <v>478</v>
      </c>
      <c r="F1" s="108" t="s">
        <v>118</v>
      </c>
      <c r="G1" s="108" t="s">
        <v>479</v>
      </c>
      <c r="H1" s="108" t="s">
        <v>120</v>
      </c>
      <c r="I1" s="108" t="s">
        <v>121</v>
      </c>
      <c r="J1" s="109" t="s">
        <v>122</v>
      </c>
      <c r="K1" s="110"/>
      <c r="L1" s="111" t="s">
        <v>113</v>
      </c>
      <c r="M1" s="112"/>
      <c r="N1" s="362" t="s">
        <v>480</v>
      </c>
      <c r="O1" s="362"/>
      <c r="P1" s="362"/>
      <c r="Q1" s="362"/>
      <c r="R1" s="362"/>
      <c r="S1" s="362"/>
      <c r="T1" s="113"/>
      <c r="U1" s="114"/>
    </row>
    <row r="2" spans="1:21" x14ac:dyDescent="0.25">
      <c r="A2" s="141" t="s">
        <v>96</v>
      </c>
      <c r="B2" s="142" t="s">
        <v>100</v>
      </c>
      <c r="C2" s="143">
        <v>430</v>
      </c>
      <c r="D2" s="143">
        <v>34.6</v>
      </c>
      <c r="E2" s="143">
        <v>12.43</v>
      </c>
      <c r="F2" s="143">
        <v>40.869999999999997</v>
      </c>
      <c r="G2" s="143">
        <v>12.95</v>
      </c>
      <c r="H2" s="143">
        <v>-0.26</v>
      </c>
      <c r="I2" s="143">
        <v>-0.24</v>
      </c>
      <c r="J2" s="144">
        <v>0.04</v>
      </c>
      <c r="K2" s="114"/>
      <c r="L2" s="115" t="str">
        <f t="array" aca="1" ref="L2" ca="1">IF(SUM(IF(A$1:A$31="",0,1/COUNTIF(A$1:A$31,A$1:A$31))) &lt; ROW(A2),"",INDEX(A:A,SMALL(IF(COUNTIF(OFFSET(A$1,,,ROW($1:$31)),A$1:A$31)=1,ROW($1:$31)),ROW(A2))))</f>
        <v>Montsol Black</v>
      </c>
      <c r="M2" s="116"/>
      <c r="N2" s="117"/>
      <c r="O2" s="117"/>
      <c r="P2" s="117"/>
      <c r="Q2" s="117"/>
      <c r="R2" s="117"/>
      <c r="S2" s="117"/>
      <c r="T2" s="118"/>
      <c r="U2" s="114"/>
    </row>
    <row r="3" spans="1:21" x14ac:dyDescent="0.25">
      <c r="A3" s="141" t="s">
        <v>96</v>
      </c>
      <c r="B3" s="142" t="s">
        <v>481</v>
      </c>
      <c r="C3" s="143">
        <v>435</v>
      </c>
      <c r="D3" s="143">
        <v>34.86</v>
      </c>
      <c r="E3" s="143">
        <v>12.48</v>
      </c>
      <c r="F3" s="143">
        <v>41.14</v>
      </c>
      <c r="G3" s="143">
        <v>13</v>
      </c>
      <c r="H3" s="143">
        <v>-0.26</v>
      </c>
      <c r="I3" s="143">
        <v>-0.24</v>
      </c>
      <c r="J3" s="144">
        <v>0.04</v>
      </c>
      <c r="K3" s="114"/>
      <c r="L3" s="115" t="str">
        <f t="array" aca="1" ref="L3" ca="1">IF(SUM(IF(A$1:A$31="",0,1/COUNTIF(A$1:A$31,A$1:A$31))) &lt; ROW(A3),"",INDEX(A:A,SMALL(IF(COUNTIF(OFFSET(A$1,,,ROW($1:$31)),A$1:A$31)=1,ROW($1:$31)),ROW(A3))))</f>
        <v/>
      </c>
      <c r="M3" s="119"/>
      <c r="O3" s="120" t="s">
        <v>482</v>
      </c>
      <c r="Q3" s="120" t="s">
        <v>483</v>
      </c>
      <c r="S3" s="121" t="s">
        <v>342</v>
      </c>
      <c r="T3" s="122"/>
      <c r="U3" s="114"/>
    </row>
    <row r="4" spans="1:21" x14ac:dyDescent="0.25">
      <c r="A4" s="141" t="s">
        <v>96</v>
      </c>
      <c r="B4" s="142" t="s">
        <v>484</v>
      </c>
      <c r="C4" s="143">
        <v>440</v>
      </c>
      <c r="D4" s="143">
        <v>35.119999999999997</v>
      </c>
      <c r="E4" s="143">
        <v>12.53</v>
      </c>
      <c r="F4" s="143">
        <v>41.41</v>
      </c>
      <c r="G4" s="143">
        <v>13.05</v>
      </c>
      <c r="H4" s="143">
        <v>-0.26</v>
      </c>
      <c r="I4" s="143">
        <v>-0.24</v>
      </c>
      <c r="J4" s="144">
        <v>0.04</v>
      </c>
      <c r="K4" s="114"/>
      <c r="L4" s="115" t="str">
        <f t="array" aca="1" ref="L4" ca="1">IF(SUM(IF(A$1:A$31="",0,1/COUNTIF(A$1:A$31,A$1:A$31))) &lt; ROW(A4),"",INDEX(A:A,SMALL(IF(COUNTIF(OFFSET(A$1,,,ROW($1:$31)),A$1:A$31)=1,ROW($1:$31)),ROW(A4))))</f>
        <v/>
      </c>
      <c r="M4" s="119"/>
      <c r="N4" s="115" t="s">
        <v>485</v>
      </c>
      <c r="O4" s="135">
        <v>455</v>
      </c>
      <c r="P4" s="123"/>
      <c r="Q4" s="138">
        <v>-1.02</v>
      </c>
      <c r="R4" s="124"/>
      <c r="S4" s="125">
        <f>Q4/O4</f>
        <v>-2.2417582417582418E-3</v>
      </c>
      <c r="T4" s="122"/>
      <c r="U4" s="114"/>
    </row>
    <row r="5" spans="1:21" x14ac:dyDescent="0.25">
      <c r="A5" s="141" t="s">
        <v>96</v>
      </c>
      <c r="B5" s="142" t="s">
        <v>486</v>
      </c>
      <c r="C5" s="143">
        <v>445</v>
      </c>
      <c r="D5" s="143">
        <v>35.380000000000003</v>
      </c>
      <c r="E5" s="143">
        <v>12.58</v>
      </c>
      <c r="F5" s="143">
        <v>41.68</v>
      </c>
      <c r="G5" s="143">
        <v>13.1</v>
      </c>
      <c r="H5" s="143">
        <v>-0.26</v>
      </c>
      <c r="I5" s="143">
        <v>-0.24</v>
      </c>
      <c r="J5" s="144">
        <v>0.04</v>
      </c>
      <c r="K5" s="114"/>
      <c r="L5" s="115" t="str">
        <f t="array" aca="1" ref="L5" ca="1">IF(SUM(IF(A$1:A$31="",0,1/COUNTIF(A$1:A$31,A$1:A$31))) &lt; ROW(A5),"",INDEX(A:A,SMALL(IF(COUNTIF(OFFSET(A$1,,,ROW($1:$31)),A$1:A$31)=1,ROW($1:$31)),ROW(A5))))</f>
        <v/>
      </c>
      <c r="M5" s="119"/>
      <c r="N5" s="115" t="s">
        <v>274</v>
      </c>
      <c r="O5" s="136">
        <v>42.13</v>
      </c>
      <c r="P5" s="126"/>
      <c r="Q5" s="139">
        <v>-176.8</v>
      </c>
      <c r="R5" s="127"/>
      <c r="S5" s="128">
        <f>(Q5/1000)/O5</f>
        <v>-4.1965345359601235E-3</v>
      </c>
      <c r="T5" s="122"/>
      <c r="U5" s="114"/>
    </row>
    <row r="6" spans="1:21" x14ac:dyDescent="0.25">
      <c r="A6" s="141" t="s">
        <v>96</v>
      </c>
      <c r="B6" s="142" t="s">
        <v>487</v>
      </c>
      <c r="C6" s="143">
        <v>450</v>
      </c>
      <c r="D6" s="143">
        <v>35.630000000000003</v>
      </c>
      <c r="E6" s="143">
        <v>12.63</v>
      </c>
      <c r="F6" s="143">
        <v>41.94</v>
      </c>
      <c r="G6" s="143">
        <v>13.15</v>
      </c>
      <c r="H6" s="143">
        <v>-0.26</v>
      </c>
      <c r="I6" s="143">
        <v>-0.24</v>
      </c>
      <c r="J6" s="144">
        <v>0.04</v>
      </c>
      <c r="K6" s="114"/>
      <c r="L6" s="115" t="str">
        <f t="array" aca="1" ref="L6" ca="1">IF(SUM(IF(A$1:A$31="",0,1/COUNTIF(A$1:A$31,A$1:A$31))) &lt; ROW(A6),"",INDEX(A:A,SMALL(IF(COUNTIF(OFFSET(A$1,,,ROW($1:$31)),A$1:A$31)=1,ROW($1:$31)),ROW(A6))))</f>
        <v/>
      </c>
      <c r="M6" s="119"/>
      <c r="N6" s="115" t="s">
        <v>279</v>
      </c>
      <c r="O6" s="137">
        <v>13.45</v>
      </c>
      <c r="P6" s="129"/>
      <c r="Q6" s="140">
        <v>2.9</v>
      </c>
      <c r="R6" s="130"/>
      <c r="S6" s="125">
        <f>(Q6/1000)/O6</f>
        <v>2.1561338289962826E-4</v>
      </c>
      <c r="T6" s="122"/>
      <c r="U6" s="114"/>
    </row>
    <row r="7" spans="1:21" ht="15.75" thickBot="1" x14ac:dyDescent="0.3">
      <c r="A7" s="141" t="s">
        <v>96</v>
      </c>
      <c r="B7" s="142" t="s">
        <v>488</v>
      </c>
      <c r="C7" s="143">
        <v>480</v>
      </c>
      <c r="D7" s="143">
        <v>34.6</v>
      </c>
      <c r="E7" s="143">
        <v>13.88</v>
      </c>
      <c r="F7" s="143">
        <v>40.869999999999997</v>
      </c>
      <c r="G7" s="143">
        <v>14.46</v>
      </c>
      <c r="H7" s="143">
        <v>-0.26</v>
      </c>
      <c r="I7" s="143">
        <v>-0.24</v>
      </c>
      <c r="J7" s="144">
        <v>0.04</v>
      </c>
      <c r="K7" s="114"/>
      <c r="L7" s="115" t="str">
        <f t="array" aca="1" ref="L7" ca="1">IF(SUM(IF(A$1:A$31="",0,1/COUNTIF(A$1:A$31,A$1:A$31))) &lt; ROW(A7),"",INDEX(A:A,SMALL(IF(COUNTIF(OFFSET(A$1,,,ROW($1:$31)),A$1:A$31)=1,ROW($1:$31)),ROW(A7))))</f>
        <v/>
      </c>
      <c r="M7" s="131"/>
      <c r="N7" s="132"/>
      <c r="O7" s="132"/>
      <c r="P7" s="132"/>
      <c r="Q7" s="132"/>
      <c r="R7" s="132"/>
      <c r="S7" s="133"/>
      <c r="T7" s="134"/>
      <c r="U7" s="114"/>
    </row>
    <row r="8" spans="1:21" x14ac:dyDescent="0.25">
      <c r="A8" s="141" t="s">
        <v>96</v>
      </c>
      <c r="B8" s="142" t="s">
        <v>489</v>
      </c>
      <c r="C8" s="143">
        <v>485</v>
      </c>
      <c r="D8" s="143">
        <v>34.86</v>
      </c>
      <c r="E8" s="143">
        <v>13.92</v>
      </c>
      <c r="F8" s="143">
        <v>41.14</v>
      </c>
      <c r="G8" s="143">
        <v>14.49</v>
      </c>
      <c r="H8" s="143">
        <v>-0.26</v>
      </c>
      <c r="I8" s="143">
        <v>-0.24</v>
      </c>
      <c r="J8" s="144">
        <v>0.04</v>
      </c>
      <c r="K8" s="114"/>
      <c r="L8" s="115" t="str">
        <f t="array" aca="1" ref="L8" ca="1">IF(SUM(IF(A$1:A$31="",0,1/COUNTIF(A$1:A$31,A$1:A$31))) &lt; ROW(A8),"",INDEX(A:A,SMALL(IF(COUNTIF(OFFSET(A$1,,,ROW($1:$31)),A$1:A$31)=1,ROW($1:$31)),ROW(A8))))</f>
        <v/>
      </c>
      <c r="M8" s="363" t="s">
        <v>490</v>
      </c>
      <c r="N8" s="364"/>
      <c r="O8" s="364"/>
      <c r="P8" s="364"/>
      <c r="Q8" s="364"/>
      <c r="R8" s="364"/>
      <c r="S8" s="364"/>
      <c r="T8" s="365"/>
    </row>
    <row r="9" spans="1:21" x14ac:dyDescent="0.25">
      <c r="A9" s="141" t="s">
        <v>96</v>
      </c>
      <c r="B9" s="142" t="s">
        <v>491</v>
      </c>
      <c r="C9" s="143">
        <v>490</v>
      </c>
      <c r="D9" s="143">
        <v>35.119999999999997</v>
      </c>
      <c r="E9" s="143">
        <v>13.96</v>
      </c>
      <c r="F9" s="143">
        <v>41.41</v>
      </c>
      <c r="G9" s="143">
        <v>14.53</v>
      </c>
      <c r="H9" s="143">
        <v>-0.26</v>
      </c>
      <c r="I9" s="143">
        <v>-0.24</v>
      </c>
      <c r="J9" s="144">
        <v>0.04</v>
      </c>
      <c r="K9" s="114"/>
      <c r="L9" s="115" t="str">
        <f t="array" aca="1" ref="L9" ca="1">IF(SUM(IF(A$1:A$31="",0,1/COUNTIF(A$1:A$31,A$1:A$31))) &lt; ROW(A9),"",INDEX(A:A,SMALL(IF(COUNTIF(OFFSET(A$1,,,ROW($1:$31)),A$1:A$31)=1,ROW($1:$31)),ROW(A9))))</f>
        <v/>
      </c>
      <c r="M9" s="366"/>
      <c r="N9" s="367"/>
      <c r="O9" s="367"/>
      <c r="P9" s="367"/>
      <c r="Q9" s="367"/>
      <c r="R9" s="367"/>
      <c r="S9" s="367"/>
      <c r="T9" s="368"/>
    </row>
    <row r="10" spans="1:21" x14ac:dyDescent="0.25">
      <c r="A10" s="141" t="s">
        <v>96</v>
      </c>
      <c r="B10" s="142" t="s">
        <v>492</v>
      </c>
      <c r="C10" s="143">
        <v>495</v>
      </c>
      <c r="D10" s="143">
        <v>35.380000000000003</v>
      </c>
      <c r="E10" s="143">
        <v>14</v>
      </c>
      <c r="F10" s="143">
        <v>41.68</v>
      </c>
      <c r="G10" s="143">
        <v>14.57</v>
      </c>
      <c r="H10" s="143">
        <v>-0.26</v>
      </c>
      <c r="I10" s="143">
        <v>-0.24</v>
      </c>
      <c r="J10" s="144">
        <v>0.04</v>
      </c>
      <c r="K10" s="114"/>
      <c r="L10" s="115" t="str">
        <f t="array" aca="1" ref="L10" ca="1">IF(SUM(IF(A$1:A$31="",0,1/COUNTIF(A$1:A$31,A$1:A$31))) &lt; ROW(A10),"",INDEX(A:A,SMALL(IF(COUNTIF(OFFSET(A$1,,,ROW($1:$31)),A$1:A$31)=1,ROW($1:$31)),ROW(A10))))</f>
        <v/>
      </c>
      <c r="M10" s="369"/>
      <c r="N10" s="370"/>
      <c r="O10" s="370"/>
      <c r="P10" s="370"/>
      <c r="Q10" s="370"/>
      <c r="R10" s="370"/>
      <c r="S10" s="370"/>
      <c r="T10" s="371"/>
    </row>
    <row r="11" spans="1:21" x14ac:dyDescent="0.25">
      <c r="A11" s="141" t="s">
        <v>96</v>
      </c>
      <c r="B11" s="142" t="s">
        <v>493</v>
      </c>
      <c r="C11" s="143">
        <v>500</v>
      </c>
      <c r="D11" s="143">
        <v>35.630000000000003</v>
      </c>
      <c r="E11" s="143">
        <v>14.04</v>
      </c>
      <c r="F11" s="143">
        <v>41.94</v>
      </c>
      <c r="G11" s="143">
        <v>14.61</v>
      </c>
      <c r="H11" s="143">
        <v>-0.26</v>
      </c>
      <c r="I11" s="143">
        <v>-0.24</v>
      </c>
      <c r="J11" s="144">
        <v>0.04</v>
      </c>
      <c r="K11" s="114"/>
      <c r="L11" s="115" t="str">
        <f t="array" aca="1" ref="L11" ca="1">IF(SUM(IF(A$1:A$31="",0,1/COUNTIF(A$1:A$31,A$1:A$31))) &lt; ROW(A11),"",INDEX(A:A,SMALL(IF(COUNTIF(OFFSET(A$1,,,ROW($1:$31)),A$1:A$31)=1,ROW($1:$31)),ROW(A11))))</f>
        <v/>
      </c>
    </row>
    <row r="12" spans="1:21" x14ac:dyDescent="0.25">
      <c r="A12" s="141"/>
      <c r="B12" s="142"/>
      <c r="C12" s="143"/>
      <c r="D12" s="143"/>
      <c r="E12" s="143"/>
      <c r="F12" s="143"/>
      <c r="G12" s="143"/>
      <c r="H12" s="143"/>
      <c r="I12" s="143"/>
      <c r="J12" s="144"/>
      <c r="K12" s="114"/>
      <c r="L12" s="115" t="str">
        <f t="array" aca="1" ref="L12" ca="1">IF(SUM(IF(A$1:A$31="",0,1/COUNTIF(A$1:A$31,A$1:A$31))) &lt; ROW(A12),"",INDEX(A:A,SMALL(IF(COUNTIF(OFFSET(A$1,,,ROW($1:$31)),A$1:A$31)=1,ROW($1:$31)),ROW(A12))))</f>
        <v/>
      </c>
    </row>
    <row r="13" spans="1:21" x14ac:dyDescent="0.25">
      <c r="A13" s="141"/>
      <c r="B13" s="142"/>
      <c r="C13" s="143"/>
      <c r="D13" s="143"/>
      <c r="E13" s="143"/>
      <c r="F13" s="143"/>
      <c r="G13" s="143"/>
      <c r="H13" s="143"/>
      <c r="I13" s="143"/>
      <c r="J13" s="144"/>
      <c r="K13" s="114"/>
      <c r="L13" s="115" t="str">
        <f t="array" aca="1" ref="L13" ca="1">IF(SUM(IF(A$1:A$31="",0,1/COUNTIF(A$1:A$31,A$1:A$31))) &lt; ROW(A13),"",INDEX(A:A,SMALL(IF(COUNTIF(OFFSET(A$1,,,ROW($1:$31)),A$1:A$31)=1,ROW($1:$31)),ROW(A13))))</f>
        <v/>
      </c>
    </row>
    <row r="14" spans="1:21" x14ac:dyDescent="0.25">
      <c r="A14" s="141"/>
      <c r="B14" s="142"/>
      <c r="C14" s="143"/>
      <c r="D14" s="143"/>
      <c r="E14" s="143"/>
      <c r="F14" s="143"/>
      <c r="G14" s="143"/>
      <c r="H14" s="143"/>
      <c r="I14" s="143"/>
      <c r="J14" s="144"/>
      <c r="K14" s="114"/>
      <c r="L14" s="115" t="str">
        <f t="array" aca="1" ref="L14" ca="1">IF(SUM(IF(A$1:A$31="",0,1/COUNTIF(A$1:A$31,A$1:A$31))) &lt; ROW(A14),"",INDEX(A:A,SMALL(IF(COUNTIF(OFFSET(A$1,,,ROW($1:$31)),A$1:A$31)=1,ROW($1:$31)),ROW(A14))))</f>
        <v/>
      </c>
    </row>
    <row r="15" spans="1:21" x14ac:dyDescent="0.25">
      <c r="A15" s="141"/>
      <c r="B15" s="142"/>
      <c r="C15" s="143"/>
      <c r="D15" s="143"/>
      <c r="E15" s="143"/>
      <c r="F15" s="143"/>
      <c r="G15" s="143"/>
      <c r="H15" s="143"/>
      <c r="I15" s="143"/>
      <c r="J15" s="144"/>
      <c r="K15" s="114"/>
      <c r="L15" s="115" t="str">
        <f t="array" aca="1" ref="L15" ca="1">IF(SUM(IF(A$1:A$31="",0,1/COUNTIF(A$1:A$31,A$1:A$31))) &lt; ROW(A15),"",INDEX(A:A,SMALL(IF(COUNTIF(OFFSET(A$1,,,ROW($1:$31)),A$1:A$31)=1,ROW($1:$31)),ROW(A15))))</f>
        <v/>
      </c>
    </row>
    <row r="16" spans="1:21" x14ac:dyDescent="0.25">
      <c r="A16" s="141"/>
      <c r="B16" s="142"/>
      <c r="C16" s="143"/>
      <c r="D16" s="143"/>
      <c r="E16" s="143"/>
      <c r="F16" s="143"/>
      <c r="G16" s="143"/>
      <c r="H16" s="143"/>
      <c r="I16" s="143"/>
      <c r="J16" s="144"/>
      <c r="K16" s="114"/>
      <c r="L16" s="115" t="str">
        <f t="array" aca="1" ref="L16" ca="1">IF(SUM(IF(A$1:A$31="",0,1/COUNTIF(A$1:A$31,A$1:A$31))) &lt; ROW(A16),"",INDEX(A:A,SMALL(IF(COUNTIF(OFFSET(A$1,,,ROW($1:$31)),A$1:A$31)=1,ROW($1:$31)),ROW(A16))))</f>
        <v/>
      </c>
    </row>
    <row r="17" spans="1:12" x14ac:dyDescent="0.25">
      <c r="A17" s="141"/>
      <c r="B17" s="142"/>
      <c r="C17" s="143"/>
      <c r="D17" s="143"/>
      <c r="E17" s="143"/>
      <c r="F17" s="143"/>
      <c r="G17" s="143"/>
      <c r="H17" s="143"/>
      <c r="I17" s="143"/>
      <c r="J17" s="144"/>
      <c r="K17" s="114"/>
      <c r="L17" s="115" t="str">
        <f t="array" aca="1" ref="L17" ca="1">IF(SUM(IF(A$1:A$31="",0,1/COUNTIF(A$1:A$31,A$1:A$31))) &lt; ROW(A17),"",INDEX(A:A,SMALL(IF(COUNTIF(OFFSET(A$1,,,ROW($1:$31)),A$1:A$31)=1,ROW($1:$31)),ROW(A17))))</f>
        <v/>
      </c>
    </row>
    <row r="18" spans="1:12" x14ac:dyDescent="0.25">
      <c r="A18" s="141"/>
      <c r="B18" s="142"/>
      <c r="C18" s="143"/>
      <c r="D18" s="143"/>
      <c r="E18" s="143"/>
      <c r="F18" s="143"/>
      <c r="G18" s="143"/>
      <c r="H18" s="143"/>
      <c r="I18" s="143"/>
      <c r="J18" s="144"/>
      <c r="K18" s="114"/>
      <c r="L18" s="115" t="str">
        <f t="array" aca="1" ref="L18" ca="1">IF(SUM(IF(A$1:A$31="",0,1/COUNTIF(A$1:A$31,A$1:A$31))) &lt; ROW(A18),"",INDEX(A:A,SMALL(IF(COUNTIF(OFFSET(A$1,,,ROW($1:$31)),A$1:A$31)=1,ROW($1:$31)),ROW(A18))))</f>
        <v/>
      </c>
    </row>
    <row r="19" spans="1:12" x14ac:dyDescent="0.25">
      <c r="A19" s="141"/>
      <c r="B19" s="142"/>
      <c r="C19" s="143"/>
      <c r="D19" s="143"/>
      <c r="E19" s="143"/>
      <c r="F19" s="143"/>
      <c r="G19" s="143"/>
      <c r="H19" s="143"/>
      <c r="I19" s="143"/>
      <c r="J19" s="144"/>
      <c r="K19" s="114"/>
      <c r="L19" s="115" t="str">
        <f t="array" aca="1" ref="L19" ca="1">IF(SUM(IF(A$1:A$31="",0,1/COUNTIF(A$1:A$31,A$1:A$31))) &lt; ROW(A19),"",INDEX(A:A,SMALL(IF(COUNTIF(OFFSET(A$1,,,ROW($1:$31)),A$1:A$31)=1,ROW($1:$31)),ROW(A19))))</f>
        <v/>
      </c>
    </row>
    <row r="20" spans="1:12" ht="15" customHeight="1" x14ac:dyDescent="0.25">
      <c r="A20" s="141"/>
      <c r="B20" s="142"/>
      <c r="C20" s="143"/>
      <c r="D20" s="143"/>
      <c r="E20" s="143"/>
      <c r="F20" s="143"/>
      <c r="G20" s="143"/>
      <c r="H20" s="143"/>
      <c r="I20" s="143"/>
      <c r="J20" s="144"/>
      <c r="K20" s="114"/>
      <c r="L20" s="115" t="str">
        <f t="array" aca="1" ref="L20" ca="1">IF(SUM(IF(A$1:A$31="",0,1/COUNTIF(A$1:A$31,A$1:A$31))) &lt; ROW(A20),"",INDEX(A:A,SMALL(IF(COUNTIF(OFFSET(A$1,,,ROW($1:$31)),A$1:A$31)=1,ROW($1:$31)),ROW(A20))))</f>
        <v/>
      </c>
    </row>
    <row r="21" spans="1:12" ht="15" customHeight="1" x14ac:dyDescent="0.25">
      <c r="A21" s="141"/>
      <c r="B21" s="142"/>
      <c r="C21" s="143"/>
      <c r="D21" s="143"/>
      <c r="E21" s="143"/>
      <c r="F21" s="143"/>
      <c r="G21" s="143"/>
      <c r="H21" s="143"/>
      <c r="I21" s="143"/>
      <c r="J21" s="144"/>
      <c r="K21" s="114"/>
      <c r="L21" s="115" t="str">
        <f t="array" aca="1" ref="L21" ca="1">IF(SUM(IF(A$1:A$31="",0,1/COUNTIF(A$1:A$31,A$1:A$31))) &lt; ROW(A21),"",INDEX(A:A,SMALL(IF(COUNTIF(OFFSET(A$1,,,ROW($1:$31)),A$1:A$31)=1,ROW($1:$31)),ROW(A21))))</f>
        <v/>
      </c>
    </row>
    <row r="22" spans="1:12" x14ac:dyDescent="0.25">
      <c r="A22" s="141"/>
      <c r="B22" s="142"/>
      <c r="C22" s="143"/>
      <c r="D22" s="143"/>
      <c r="E22" s="143"/>
      <c r="F22" s="143"/>
      <c r="G22" s="143"/>
      <c r="H22" s="143"/>
      <c r="I22" s="143"/>
      <c r="J22" s="144"/>
      <c r="K22" s="114"/>
      <c r="L22" s="115" t="str">
        <f t="array" aca="1" ref="L22" ca="1">IF(SUM(IF(A$1:A$31="",0,1/COUNTIF(A$1:A$31,A$1:A$31))) &lt; ROW(A22),"",INDEX(A:A,SMALL(IF(COUNTIF(OFFSET(A$1,,,ROW($1:$31)),A$1:A$31)=1,ROW($1:$31)),ROW(A22))))</f>
        <v/>
      </c>
    </row>
    <row r="23" spans="1:12" x14ac:dyDescent="0.25">
      <c r="A23" s="141"/>
      <c r="B23" s="142"/>
      <c r="C23" s="143"/>
      <c r="D23" s="143"/>
      <c r="E23" s="143"/>
      <c r="F23" s="143"/>
      <c r="G23" s="143"/>
      <c r="H23" s="143"/>
      <c r="I23" s="143"/>
      <c r="J23" s="144"/>
      <c r="K23" s="114"/>
      <c r="L23" s="115" t="str">
        <f t="array" aca="1" ref="L23" ca="1">IF(SUM(IF(A$1:A$31="",0,1/COUNTIF(A$1:A$31,A$1:A$31))) &lt; ROW(A23),"",INDEX(A:A,SMALL(IF(COUNTIF(OFFSET(A$1,,,ROW($1:$31)),A$1:A$31)=1,ROW($1:$31)),ROW(A23))))</f>
        <v/>
      </c>
    </row>
    <row r="24" spans="1:12" x14ac:dyDescent="0.25">
      <c r="A24" s="141"/>
      <c r="B24" s="142"/>
      <c r="C24" s="143"/>
      <c r="D24" s="143"/>
      <c r="E24" s="143"/>
      <c r="F24" s="143"/>
      <c r="G24" s="143"/>
      <c r="H24" s="143"/>
      <c r="I24" s="143"/>
      <c r="J24" s="144"/>
      <c r="K24" s="114"/>
      <c r="L24" s="115" t="str">
        <f t="array" aca="1" ref="L24" ca="1">IF(SUM(IF(A$1:A$31="",0,1/COUNTIF(A$1:A$31,A$1:A$31))) &lt; ROW(A24),"",INDEX(A:A,SMALL(IF(COUNTIF(OFFSET(A$1,,,ROW($1:$31)),A$1:A$31)=1,ROW($1:$31)),ROW(A24))))</f>
        <v/>
      </c>
    </row>
    <row r="25" spans="1:12" x14ac:dyDescent="0.25">
      <c r="A25" s="141"/>
      <c r="B25" s="142"/>
      <c r="C25" s="143"/>
      <c r="D25" s="143"/>
      <c r="E25" s="143"/>
      <c r="F25" s="143"/>
      <c r="G25" s="143"/>
      <c r="H25" s="143"/>
      <c r="I25" s="143"/>
      <c r="J25" s="144"/>
      <c r="K25" s="114"/>
      <c r="L25" s="115" t="str">
        <f t="array" aca="1" ref="L25" ca="1">IF(SUM(IF(A$1:A$31="",0,1/COUNTIF(A$1:A$31,A$1:A$31))) &lt; ROW(A25),"",INDEX(A:A,SMALL(IF(COUNTIF(OFFSET(A$1,,,ROW($1:$31)),A$1:A$31)=1,ROW($1:$31)),ROW(A25))))</f>
        <v/>
      </c>
    </row>
    <row r="26" spans="1:12" x14ac:dyDescent="0.25">
      <c r="A26" s="141"/>
      <c r="B26" s="142"/>
      <c r="C26" s="143"/>
      <c r="D26" s="143"/>
      <c r="E26" s="143"/>
      <c r="F26" s="143"/>
      <c r="G26" s="143"/>
      <c r="H26" s="143"/>
      <c r="I26" s="143"/>
      <c r="J26" s="144"/>
      <c r="K26" s="114"/>
      <c r="L26" s="115" t="str">
        <f t="array" aca="1" ref="L26" ca="1">IF(SUM(IF(A$1:A$31="",0,1/COUNTIF(A$1:A$31,A$1:A$31))) &lt; ROW(A26),"",INDEX(A:A,SMALL(IF(COUNTIF(OFFSET(A$1,,,ROW($1:$31)),A$1:A$31)=1,ROW($1:$31)),ROW(A26))))</f>
        <v/>
      </c>
    </row>
    <row r="27" spans="1:12" x14ac:dyDescent="0.25">
      <c r="A27" s="141"/>
      <c r="B27" s="142"/>
      <c r="C27" s="143"/>
      <c r="D27" s="143"/>
      <c r="E27" s="143"/>
      <c r="F27" s="143"/>
      <c r="G27" s="143"/>
      <c r="H27" s="143"/>
      <c r="I27" s="143"/>
      <c r="J27" s="144"/>
      <c r="K27" s="114"/>
      <c r="L27" s="115" t="str">
        <f t="array" aca="1" ref="L27" ca="1">IF(SUM(IF(A$1:A$31="",0,1/COUNTIF(A$1:A$31,A$1:A$31))) &lt; ROW(A27),"",INDEX(A:A,SMALL(IF(COUNTIF(OFFSET(A$1,,,ROW($1:$31)),A$1:A$31)=1,ROW($1:$31)),ROW(A27))))</f>
        <v/>
      </c>
    </row>
    <row r="28" spans="1:12" x14ac:dyDescent="0.25">
      <c r="A28" s="141"/>
      <c r="B28" s="142"/>
      <c r="C28" s="143"/>
      <c r="D28" s="143"/>
      <c r="E28" s="143"/>
      <c r="F28" s="143"/>
      <c r="G28" s="143"/>
      <c r="H28" s="143"/>
      <c r="I28" s="143"/>
      <c r="J28" s="144"/>
      <c r="K28" s="114"/>
      <c r="L28" s="115" t="str">
        <f t="array" aca="1" ref="L28" ca="1">IF(SUM(IF(A$1:A$31="",0,1/COUNTIF(A$1:A$31,A$1:A$31))) &lt; ROW(A28),"",INDEX(A:A,SMALL(IF(COUNTIF(OFFSET(A$1,,,ROW($1:$31)),A$1:A$31)=1,ROW($1:$31)),ROW(A28))))</f>
        <v/>
      </c>
    </row>
    <row r="29" spans="1:12" x14ac:dyDescent="0.25">
      <c r="A29" s="141"/>
      <c r="B29" s="142"/>
      <c r="C29" s="143"/>
      <c r="D29" s="143"/>
      <c r="E29" s="143"/>
      <c r="F29" s="143"/>
      <c r="G29" s="143"/>
      <c r="H29" s="143"/>
      <c r="I29" s="143"/>
      <c r="J29" s="144"/>
      <c r="K29" s="114"/>
      <c r="L29" s="115" t="str">
        <f t="array" aca="1" ref="L29" ca="1">IF(SUM(IF(A$1:A$31="",0,1/COUNTIF(A$1:A$31,A$1:A$31))) &lt; ROW(A29),"",INDEX(A:A,SMALL(IF(COUNTIF(OFFSET(A$1,,,ROW($1:$31)),A$1:A$31)=1,ROW($1:$31)),ROW(A29))))</f>
        <v/>
      </c>
    </row>
    <row r="30" spans="1:12" x14ac:dyDescent="0.25">
      <c r="A30" s="141"/>
      <c r="B30" s="142"/>
      <c r="C30" s="143"/>
      <c r="D30" s="143"/>
      <c r="E30" s="143"/>
      <c r="F30" s="143"/>
      <c r="G30" s="143"/>
      <c r="H30" s="143"/>
      <c r="I30" s="143"/>
      <c r="J30" s="144"/>
      <c r="K30" s="114"/>
      <c r="L30" s="115" t="str">
        <f t="array" aca="1" ref="L30" ca="1">IF(SUM(IF(A$1:A$31="",0,1/COUNTIF(A$1:A$31,A$1:A$31))) &lt; ROW(A30),"",INDEX(A:A,SMALL(IF(COUNTIF(OFFSET(A$1,,,ROW($1:$31)),A$1:A$31)=1,ROW($1:$31)),ROW(A30))))</f>
        <v/>
      </c>
    </row>
    <row r="31" spans="1:12" ht="15.75" thickBot="1" x14ac:dyDescent="0.3">
      <c r="A31" s="145"/>
      <c r="B31" s="146"/>
      <c r="C31" s="146"/>
      <c r="D31" s="146"/>
      <c r="E31" s="146"/>
      <c r="F31" s="146"/>
      <c r="G31" s="146"/>
      <c r="H31" s="146"/>
      <c r="I31" s="146"/>
      <c r="J31" s="147"/>
      <c r="K31" s="114"/>
      <c r="L31" s="115" t="str">
        <f t="array" aca="1" ref="L31" ca="1">IF(SUM(IF(A$1:A$31="",0,1/COUNTIF(A$1:A$31,A$1:A$31))) &lt; ROW(A31),"",INDEX(A:A,SMALL(IF(COUNTIF(OFFSET(A$1,,,ROW($1:$31)),A$1:A$31)=1,ROW($1:$31)),ROW(A31))))</f>
        <v/>
      </c>
    </row>
    <row r="33" spans="1:10" x14ac:dyDescent="0.25">
      <c r="A33" s="117"/>
      <c r="B33" s="117"/>
      <c r="C33" s="117"/>
      <c r="D33" s="117"/>
      <c r="E33" s="117"/>
      <c r="F33" s="117"/>
      <c r="G33" s="117"/>
      <c r="H33" s="117"/>
      <c r="I33" s="117"/>
      <c r="J33" s="117"/>
    </row>
  </sheetData>
  <sheetProtection algorithmName="SHA-512" hashValue="GuNRbl/wBG8ZobM/7j4xzmRNMGQzMdDAeLgs+lQYkeP77O+SnhjLClLPixirFs+1xa9IW7c7ELA3o1sICRtS6g==" saltValue="F3n4NT59kh/U9aUMrYK7wg==" spinCount="100000" sheet="1" objects="1" scenarios="1"/>
  <mergeCells count="2">
    <mergeCell ref="N1:S1"/>
    <mergeCell ref="M8:T10"/>
  </mergeCells>
  <conditionalFormatting sqref="A21">
    <cfRule type="expression" dxfId="3" priority="16">
      <formula>ROW()=EVEN(ROW())</formula>
    </cfRule>
  </conditionalFormatting>
  <conditionalFormatting sqref="A2:J30">
    <cfRule type="expression" dxfId="2" priority="1">
      <formula>ROW()=EVEN(ROW())</formula>
    </cfRule>
  </conditionalFormatting>
  <dataValidations count="2">
    <dataValidation type="decimal" operator="lessThan" allowBlank="1" showInputMessage="1" showErrorMessage="1" sqref="Q4:Q5" xr:uid="{00000000-0002-0000-0100-000000000000}">
      <formula1>0</formula1>
    </dataValidation>
    <dataValidation type="decimal" operator="greaterThan" allowBlank="1" showInputMessage="1" showErrorMessage="1" sqref="Q6" xr:uid="{00000000-0002-0000-0100-000001000000}">
      <formula1>0</formula1>
    </dataValidation>
  </dataValidations>
  <printOptions horizontalCentered="1" verticalCentered="1"/>
  <pageMargins left="0.70866141732283472" right="0.70866141732283472"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K41"/>
  <sheetViews>
    <sheetView workbookViewId="0">
      <selection activeCell="H6" sqref="H6"/>
    </sheetView>
  </sheetViews>
  <sheetFormatPr defaultColWidth="11.28515625" defaultRowHeight="15" x14ac:dyDescent="0.25"/>
  <cols>
    <col min="1" max="1" width="18" style="158" bestFit="1" customWidth="1"/>
    <col min="2" max="2" width="20.28515625" style="158" bestFit="1" customWidth="1"/>
    <col min="3" max="3" width="13" style="158" bestFit="1" customWidth="1"/>
    <col min="4" max="4" width="10.28515625" style="158" bestFit="1" customWidth="1"/>
    <col min="5" max="5" width="13" style="158" bestFit="1" customWidth="1"/>
    <col min="6" max="6" width="20" style="158" bestFit="1" customWidth="1"/>
    <col min="7" max="9" width="20" style="158" customWidth="1"/>
    <col min="10" max="10" width="18.85546875" style="158" customWidth="1"/>
    <col min="11" max="11" width="11.28515625" style="158" customWidth="1"/>
    <col min="12" max="16384" width="11.28515625" style="158"/>
  </cols>
  <sheetData>
    <row r="1" spans="1:11" ht="15.75" thickBot="1" x14ac:dyDescent="0.3">
      <c r="A1" s="92" t="s">
        <v>494</v>
      </c>
      <c r="B1" s="93" t="s">
        <v>158</v>
      </c>
      <c r="C1" s="93" t="s">
        <v>159</v>
      </c>
      <c r="D1" s="93" t="s">
        <v>160</v>
      </c>
      <c r="E1" s="93" t="s">
        <v>161</v>
      </c>
      <c r="F1" s="93" t="s">
        <v>162</v>
      </c>
      <c r="G1" s="156" t="s">
        <v>163</v>
      </c>
      <c r="H1" s="156" t="s">
        <v>164</v>
      </c>
      <c r="I1" s="156" t="s">
        <v>495</v>
      </c>
      <c r="J1" s="198"/>
      <c r="K1" s="111" t="s">
        <v>496</v>
      </c>
    </row>
    <row r="2" spans="1:11" x14ac:dyDescent="0.25">
      <c r="A2" s="150" t="s">
        <v>64</v>
      </c>
      <c r="B2" s="151" t="s">
        <v>497</v>
      </c>
      <c r="C2" s="152">
        <v>51.2</v>
      </c>
      <c r="D2" s="152">
        <v>56</v>
      </c>
      <c r="E2" s="152">
        <v>56</v>
      </c>
      <c r="F2" s="152">
        <v>56</v>
      </c>
      <c r="G2" s="163">
        <f>C2*112/1000</f>
        <v>5.7344000000000008</v>
      </c>
      <c r="H2" s="163">
        <f>G2*I2</f>
        <v>5.5050240000000006</v>
      </c>
      <c r="I2" s="161">
        <v>0.96</v>
      </c>
      <c r="J2" s="199"/>
      <c r="K2" s="115" t="str">
        <f t="array" aca="1" ref="K2" ca="1">IF(SUM(IF(A$1:A$31="",0,1/COUNTIF(A$1:A$31,A$1:A$31))) &lt; ROW(A2),"",INDEX(A:A,SMALL(IF(COUNTIF(OFFSET(A$1,,,ROW($1:$31)),A$1:A$31)=1,ROW($1:$31)),ROW(A2))))</f>
        <v>SMILE 5 (2021)</v>
      </c>
    </row>
    <row r="3" spans="1:11" x14ac:dyDescent="0.25">
      <c r="A3" s="150" t="s">
        <v>64</v>
      </c>
      <c r="B3" s="151" t="s">
        <v>498</v>
      </c>
      <c r="C3" s="152">
        <v>51.2</v>
      </c>
      <c r="D3" s="152">
        <v>56</v>
      </c>
      <c r="E3" s="152">
        <v>56</v>
      </c>
      <c r="F3" s="152">
        <v>56</v>
      </c>
      <c r="G3" s="163">
        <f>C3*56/1000</f>
        <v>2.8672000000000004</v>
      </c>
      <c r="H3" s="162">
        <f>G3*I3</f>
        <v>2.7525120000000003</v>
      </c>
      <c r="I3" s="161">
        <v>0.96</v>
      </c>
      <c r="J3" s="199"/>
      <c r="K3" s="115" t="str">
        <f t="array" aca="1" ref="K3" ca="1">IF(SUM(IF(A$1:A$31="",0,1/COUNTIF(A$1:A$31,A$1:A$31))) &lt; ROW(A3),"",INDEX(A:A,SMALL(IF(COUNTIF(OFFSET(A$1,,,ROW($1:$31)),A$1:A$31)=1,ROW($1:$31)),ROW(A3))))</f>
        <v>SMILE 5 OPTIMIZED</v>
      </c>
    </row>
    <row r="4" spans="1:11" x14ac:dyDescent="0.25">
      <c r="A4" s="150"/>
      <c r="B4" s="151"/>
      <c r="C4" s="152"/>
      <c r="D4" s="152"/>
      <c r="E4" s="152"/>
      <c r="F4" s="152"/>
      <c r="G4" s="163"/>
      <c r="H4" s="162"/>
      <c r="I4" s="161"/>
      <c r="J4" s="199"/>
      <c r="K4" s="115" t="str">
        <f t="array" aca="1" ref="K4" ca="1">IF(SUM(IF(A$1:A$31="",0,1/COUNTIF(A$1:A$31,A$1:A$31))) &lt; ROW(A4),"",INDEX(A:A,SMALL(IF(COUNTIF(OFFSET(A$1,,,ROW($1:$31)),A$1:A$31)=1,ROW($1:$31)),ROW(A4))))</f>
        <v>SMILE-T10-HV</v>
      </c>
    </row>
    <row r="5" spans="1:11" x14ac:dyDescent="0.25">
      <c r="A5" s="150"/>
      <c r="B5" s="151"/>
      <c r="C5" s="152"/>
      <c r="D5" s="152"/>
      <c r="E5" s="152"/>
      <c r="F5" s="152"/>
      <c r="G5" s="163"/>
      <c r="H5" s="162"/>
      <c r="I5" s="161"/>
      <c r="J5" s="200"/>
      <c r="K5" s="115" t="str">
        <f t="array" aca="1" ref="K5" ca="1">IF(SUM(IF(A$1:A$31="",0,1/COUNTIF(A$1:A$31,A$1:A$31))) &lt; ROW(A5),"",INDEX(A:A,SMALL(IF(COUNTIF(OFFSET(A$1,,,ROW($1:$31)),A$1:A$31)=1,ROW($1:$31)),ROW(A5))))</f>
        <v>SMILE-G3-S3.6</v>
      </c>
    </row>
    <row r="6" spans="1:11" x14ac:dyDescent="0.25">
      <c r="A6" s="150" t="s">
        <v>71</v>
      </c>
      <c r="B6" s="151" t="s">
        <v>497</v>
      </c>
      <c r="C6" s="152">
        <v>51.2</v>
      </c>
      <c r="D6" s="152">
        <v>56</v>
      </c>
      <c r="E6" s="152">
        <v>56</v>
      </c>
      <c r="F6" s="152">
        <v>56</v>
      </c>
      <c r="G6" s="163">
        <v>5.7344000000000008</v>
      </c>
      <c r="H6" s="163">
        <v>5.5050240000000006</v>
      </c>
      <c r="I6" s="161">
        <v>0.96</v>
      </c>
      <c r="J6" s="199"/>
      <c r="K6" s="115" t="str">
        <f t="array" aca="1" ref="K6" ca="1">IF(SUM(IF(A$1:A$31="",0,1/COUNTIF(A$1:A$31,A$1:A$31))) &lt; ROW(A6),"",INDEX(A:A,SMALL(IF(COUNTIF(OFFSET(A$1,,,ROW($1:$31)),A$1:A$31)=1,ROW($1:$31)),ROW(A6))))</f>
        <v>SMILE-G3-S5</v>
      </c>
    </row>
    <row r="7" spans="1:11" x14ac:dyDescent="0.25">
      <c r="A7" s="150" t="s">
        <v>71</v>
      </c>
      <c r="B7" s="151" t="s">
        <v>499</v>
      </c>
      <c r="C7" s="152">
        <v>51.2</v>
      </c>
      <c r="D7" s="152">
        <v>56</v>
      </c>
      <c r="E7" s="152">
        <v>56</v>
      </c>
      <c r="F7" s="152">
        <v>56</v>
      </c>
      <c r="G7" s="163">
        <f>C7*56/1000</f>
        <v>2.8672000000000004</v>
      </c>
      <c r="H7" s="162">
        <f>G7*I7</f>
        <v>2.7525120000000003</v>
      </c>
      <c r="I7" s="161">
        <v>0.96</v>
      </c>
      <c r="J7" s="199"/>
      <c r="K7" s="115" t="str">
        <f t="array" aca="1" ref="K7" ca="1">IF(SUM(IF(A$1:A$31="",0,1/COUNTIF(A$1:A$31,A$1:A$31))) &lt; ROW(A7),"",INDEX(A:A,SMALL(IF(COUNTIF(OFFSET(A$1,,,ROW($1:$31)),A$1:A$31)=1,ROW($1:$31)),ROW(A7))))</f>
        <v/>
      </c>
    </row>
    <row r="8" spans="1:11" x14ac:dyDescent="0.25">
      <c r="A8" s="150"/>
      <c r="B8" s="151"/>
      <c r="C8" s="152"/>
      <c r="D8" s="152"/>
      <c r="E8" s="152"/>
      <c r="F8" s="152"/>
      <c r="G8" s="163"/>
      <c r="H8" s="162"/>
      <c r="I8" s="161"/>
      <c r="J8" s="199"/>
      <c r="K8" s="115" t="str">
        <f t="array" aca="1" ref="K8" ca="1">IF(SUM(IF(A$1:A$31="",0,1/COUNTIF(A$1:A$31,A$1:A$31))) &lt; ROW(A8),"",INDEX(A:A,SMALL(IF(COUNTIF(OFFSET(A$1,,,ROW($1:$31)),A$1:A$31)=1,ROW($1:$31)),ROW(A8))))</f>
        <v/>
      </c>
    </row>
    <row r="9" spans="1:11" x14ac:dyDescent="0.25">
      <c r="A9" s="150" t="s">
        <v>76</v>
      </c>
      <c r="B9" s="151" t="s">
        <v>500</v>
      </c>
      <c r="C9" s="152">
        <v>256</v>
      </c>
      <c r="D9" s="152">
        <v>32</v>
      </c>
      <c r="E9" s="152">
        <v>32</v>
      </c>
      <c r="F9" s="152">
        <v>32</v>
      </c>
      <c r="G9" s="163">
        <f>C9*D9/1000</f>
        <v>8.1920000000000002</v>
      </c>
      <c r="H9" s="162">
        <f>G9*I9</f>
        <v>7.7824</v>
      </c>
      <c r="I9" s="161">
        <v>0.95</v>
      </c>
      <c r="J9" s="199"/>
      <c r="K9" s="115" t="str">
        <f t="array" aca="1" ref="K9" ca="1">IF(SUM(IF(A$1:A$31="",0,1/COUNTIF(A$1:A$31,A$1:A$31))) &lt; ROW(A37),"",INDEX(A:A,SMALL(IF(COUNTIF(OFFSET(A$1,,,ROW($1:$31)),A$1:A$31)=1,ROW($1:$31)),ROW(A37))))</f>
        <v/>
      </c>
    </row>
    <row r="10" spans="1:11" x14ac:dyDescent="0.25">
      <c r="A10" s="180"/>
      <c r="B10" s="181"/>
      <c r="C10" s="182"/>
      <c r="D10" s="182"/>
      <c r="E10" s="182"/>
      <c r="F10" s="182"/>
      <c r="G10" s="163"/>
      <c r="H10" s="183"/>
      <c r="I10" s="184"/>
      <c r="J10" s="199"/>
      <c r="K10" s="115" t="str">
        <f t="array" aca="1" ref="K10" ca="1">IF(SUM(IF(A$1:A$31="",0,1/COUNTIF(A$1:A$31,A$1:A$31))) &lt; ROW(A38),"",INDEX(A:A,SMALL(IF(COUNTIF(OFFSET(A$1,,,ROW($1:$31)),A$1:A$31)=1,ROW($1:$31)),ROW(A38))))</f>
        <v/>
      </c>
    </row>
    <row r="11" spans="1:11" x14ac:dyDescent="0.25">
      <c r="A11" s="151" t="s">
        <v>80</v>
      </c>
      <c r="B11" s="151" t="s">
        <v>501</v>
      </c>
      <c r="C11" s="152">
        <v>96</v>
      </c>
      <c r="D11" s="152">
        <v>40</v>
      </c>
      <c r="E11" s="152">
        <v>40</v>
      </c>
      <c r="F11" s="152">
        <v>40</v>
      </c>
      <c r="G11" s="163">
        <v>3.8</v>
      </c>
      <c r="H11" s="162">
        <f>G11*I11</f>
        <v>3.61</v>
      </c>
      <c r="I11" s="161">
        <v>0.95</v>
      </c>
      <c r="J11" s="199"/>
      <c r="K11" s="115" t="str">
        <f t="array" aca="1" ref="K11" ca="1">IF(SUM(IF(A$1:A$31="",0,1/COUNTIF(A$1:A$31,A$1:A$31))) &lt; ROW(A39),"",INDEX(A:A,SMALL(IF(COUNTIF(OFFSET(A$1,,,ROW($1:$31)),A$1:A$31)=1,ROW($1:$31)),ROW(A39))))</f>
        <v/>
      </c>
    </row>
    <row r="12" spans="1:11" x14ac:dyDescent="0.25">
      <c r="A12" s="150" t="s">
        <v>80</v>
      </c>
      <c r="B12" s="151" t="s">
        <v>13</v>
      </c>
      <c r="C12" s="152">
        <v>96</v>
      </c>
      <c r="D12" s="152">
        <v>52.5</v>
      </c>
      <c r="E12" s="152">
        <v>52.5</v>
      </c>
      <c r="F12" s="152">
        <v>52.5</v>
      </c>
      <c r="G12" s="163">
        <v>10.1</v>
      </c>
      <c r="H12" s="162">
        <f>G12*I12</f>
        <v>9.5949999999999989</v>
      </c>
      <c r="I12" s="161">
        <v>0.95</v>
      </c>
      <c r="J12" s="199"/>
      <c r="K12" s="115" t="str">
        <f t="array" aca="1" ref="K12" ca="1">IF(SUM(IF(A$1:A$31="",0,1/COUNTIF(A$1:A$31,A$1:A$31))) &lt; ROW(A40),"",INDEX(A:A,SMALL(IF(COUNTIF(OFFSET(A$1,,,ROW($1:$31)),A$1:A$31)=1,ROW($1:$31)),ROW(A40))))</f>
        <v/>
      </c>
    </row>
    <row r="13" spans="1:11" x14ac:dyDescent="0.25">
      <c r="A13" s="150"/>
      <c r="B13" s="151"/>
      <c r="C13" s="152"/>
      <c r="D13" s="152"/>
      <c r="E13" s="152"/>
      <c r="F13" s="152"/>
      <c r="G13" s="163"/>
      <c r="H13" s="162"/>
      <c r="I13" s="161"/>
      <c r="J13" s="199"/>
      <c r="K13" s="115" t="str">
        <f t="array" aca="1" ref="K13" ca="1">IF(SUM(IF(A$1:A$31="",0,1/COUNTIF(A$1:A$31,A$1:A$31))) &lt; ROW(A13),"",INDEX(A:A,SMALL(IF(COUNTIF(OFFSET(A$1,,,ROW($1:$31)),A$1:A$31)=1,ROW($1:$31)),ROW(A13))))</f>
        <v/>
      </c>
    </row>
    <row r="14" spans="1:11" x14ac:dyDescent="0.25">
      <c r="A14" s="151" t="s">
        <v>9</v>
      </c>
      <c r="B14" s="151" t="s">
        <v>501</v>
      </c>
      <c r="C14" s="152">
        <v>96</v>
      </c>
      <c r="D14" s="152">
        <v>40</v>
      </c>
      <c r="E14" s="152">
        <v>40</v>
      </c>
      <c r="F14" s="152">
        <v>40</v>
      </c>
      <c r="G14" s="163">
        <v>3.8</v>
      </c>
      <c r="H14" s="162">
        <f>G14*I14</f>
        <v>3.61</v>
      </c>
      <c r="I14" s="161">
        <v>0.95</v>
      </c>
      <c r="J14" s="199"/>
      <c r="K14" s="115" t="str">
        <f t="array" aca="1" ref="K14" ca="1">IF(SUM(IF(A$1:A$31="",0,1/COUNTIF(A$1:A$31,A$1:A$31))) &lt; ROW(A14),"",INDEX(A:A,SMALL(IF(COUNTIF(OFFSET(A$1,,,ROW($1:$31)),A$1:A$31)=1,ROW($1:$31)),ROW(A14))))</f>
        <v/>
      </c>
    </row>
    <row r="15" spans="1:11" x14ac:dyDescent="0.25">
      <c r="A15" s="150" t="s">
        <v>9</v>
      </c>
      <c r="B15" s="151" t="s">
        <v>13</v>
      </c>
      <c r="C15" s="152">
        <v>96</v>
      </c>
      <c r="D15" s="152">
        <v>52.5</v>
      </c>
      <c r="E15" s="152">
        <v>52.5</v>
      </c>
      <c r="F15" s="152">
        <v>52.5</v>
      </c>
      <c r="G15" s="163">
        <v>10.1</v>
      </c>
      <c r="H15" s="162">
        <f>G15*I15</f>
        <v>9.5949999999999989</v>
      </c>
      <c r="I15" s="161">
        <v>0.95</v>
      </c>
      <c r="J15" s="199"/>
      <c r="K15" s="115" t="str">
        <f t="array" aca="1" ref="K15" ca="1">IF(SUM(IF(A$1:A$31="",0,1/COUNTIF(A$1:A$31,A$1:A$31))) &lt; ROW(A15),"",INDEX(A:A,SMALL(IF(COUNTIF(OFFSET(A$1,,,ROW($1:$31)),A$1:A$31)=1,ROW($1:$31)),ROW(A15))))</f>
        <v/>
      </c>
    </row>
    <row r="16" spans="1:11" x14ac:dyDescent="0.25">
      <c r="A16" s="150"/>
      <c r="B16" s="151"/>
      <c r="C16" s="152"/>
      <c r="D16" s="152"/>
      <c r="E16" s="152"/>
      <c r="F16" s="152"/>
      <c r="G16" s="163"/>
      <c r="H16" s="162"/>
      <c r="I16" s="161"/>
      <c r="J16" s="199"/>
      <c r="K16" s="115" t="str">
        <f t="array" aca="1" ref="K16" ca="1">IF(SUM(IF(A$1:A$31="",0,1/COUNTIF(A$1:A$31,A$1:A$31))) &lt; ROW(A16),"",INDEX(A:A,SMALL(IF(COUNTIF(OFFSET(A$1,,,ROW($1:$31)),A$1:A$31)=1,ROW($1:$31)),ROW(A16))))</f>
        <v/>
      </c>
    </row>
    <row r="17" spans="1:11" x14ac:dyDescent="0.25">
      <c r="A17" s="150"/>
      <c r="B17" s="151"/>
      <c r="C17" s="152"/>
      <c r="D17" s="152"/>
      <c r="E17" s="152"/>
      <c r="F17" s="152"/>
      <c r="G17" s="152"/>
      <c r="H17" s="162"/>
      <c r="I17" s="161"/>
      <c r="J17" s="199"/>
      <c r="K17" s="115" t="str">
        <f t="array" aca="1" ref="K17" ca="1">IF(SUM(IF(A$1:A$31="",0,1/COUNTIF(A$1:A$31,A$1:A$31))) &lt; ROW(A17),"",INDEX(A:A,SMALL(IF(COUNTIF(OFFSET(A$1,,,ROW($1:$31)),A$1:A$31)=1,ROW($1:$31)),ROW(A17))))</f>
        <v/>
      </c>
    </row>
    <row r="18" spans="1:11" x14ac:dyDescent="0.25">
      <c r="A18" s="150"/>
      <c r="B18" s="151"/>
      <c r="C18" s="152"/>
      <c r="D18" s="152"/>
      <c r="E18" s="152"/>
      <c r="F18" s="152"/>
      <c r="G18" s="163"/>
      <c r="H18" s="163"/>
      <c r="I18" s="161"/>
      <c r="J18" s="199"/>
      <c r="K18" s="115" t="str">
        <f t="array" aca="1" ref="K18" ca="1">IF(SUM(IF(A$1:A$31="",0,1/COUNTIF(A$1:A$31,A$1:A$31))) &lt; ROW(A18),"",INDEX(A:A,SMALL(IF(COUNTIF(OFFSET(A$1,,,ROW($1:$31)),A$1:A$31)=1,ROW($1:$31)),ROW(A18))))</f>
        <v/>
      </c>
    </row>
    <row r="19" spans="1:11" x14ac:dyDescent="0.25">
      <c r="A19" s="150"/>
      <c r="B19" s="151"/>
      <c r="C19" s="152"/>
      <c r="D19" s="152"/>
      <c r="E19" s="152"/>
      <c r="F19" s="152"/>
      <c r="G19" s="152"/>
      <c r="H19" s="152"/>
      <c r="J19" s="199"/>
      <c r="K19" s="115" t="str">
        <f t="array" aca="1" ref="K19" ca="1">IF(SUM(IF(A$1:A$31="",0,1/COUNTIF(A$1:A$31,A$1:A$31))) &lt; ROW(A19),"",INDEX(A:A,SMALL(IF(COUNTIF(OFFSET(A$1,,,ROW($1:$31)),A$1:A$31)=1,ROW($1:$31)),ROW(A19))))</f>
        <v/>
      </c>
    </row>
    <row r="20" spans="1:11" x14ac:dyDescent="0.25">
      <c r="A20" s="150"/>
      <c r="B20" s="151"/>
      <c r="C20" s="152"/>
      <c r="D20" s="152"/>
      <c r="E20" s="152"/>
      <c r="F20" s="152"/>
      <c r="G20" s="152"/>
      <c r="H20" s="152"/>
      <c r="J20" s="199"/>
      <c r="K20" s="115" t="str">
        <f t="array" aca="1" ref="K20" ca="1">IF(SUM(IF(A$1:A$31="",0,1/COUNTIF(A$1:A$31,A$1:A$31))) &lt; ROW(A20),"",INDEX(A:A,SMALL(IF(COUNTIF(OFFSET(A$1,,,ROW($1:$31)),A$1:A$31)=1,ROW($1:$31)),ROW(A20))))</f>
        <v/>
      </c>
    </row>
    <row r="21" spans="1:11" x14ac:dyDescent="0.25">
      <c r="A21" s="150"/>
      <c r="B21" s="151"/>
      <c r="C21" s="152"/>
      <c r="D21" s="152"/>
      <c r="E21" s="152"/>
      <c r="F21" s="152"/>
      <c r="G21" s="152"/>
      <c r="H21" s="152"/>
      <c r="J21" s="199"/>
      <c r="K21" s="115" t="str">
        <f t="array" aca="1" ref="K21" ca="1">IF(SUM(IF(A$1:A$31="",0,1/COUNTIF(A$1:A$31,A$1:A$31))) &lt; ROW(A21),"",INDEX(A:A,SMALL(IF(COUNTIF(OFFSET(A$1,,,ROW($1:$31)),A$1:A$31)=1,ROW($1:$31)),ROW(A21))))</f>
        <v/>
      </c>
    </row>
    <row r="22" spans="1:11" x14ac:dyDescent="0.25">
      <c r="A22" s="150"/>
      <c r="B22" s="151"/>
      <c r="C22" s="152"/>
      <c r="D22" s="152"/>
      <c r="E22" s="152"/>
      <c r="F22" s="152"/>
      <c r="G22" s="152"/>
      <c r="H22" s="152"/>
      <c r="J22" s="199"/>
      <c r="K22" s="115" t="str">
        <f t="array" aca="1" ref="K22" ca="1">IF(SUM(IF(A$1:A$31="",0,1/COUNTIF(A$1:A$31,A$1:A$31))) &lt; ROW(A22),"",INDEX(A:A,SMALL(IF(COUNTIF(OFFSET(A$1,,,ROW($1:$31)),A$1:A$31)=1,ROW($1:$31)),ROW(A22))))</f>
        <v/>
      </c>
    </row>
    <row r="23" spans="1:11" x14ac:dyDescent="0.25">
      <c r="A23" s="150"/>
      <c r="B23" s="151"/>
      <c r="C23" s="152"/>
      <c r="D23" s="152"/>
      <c r="E23" s="152"/>
      <c r="F23" s="152"/>
      <c r="G23" s="152"/>
      <c r="H23" s="152"/>
      <c r="J23" s="199"/>
      <c r="K23" s="115" t="str">
        <f t="array" aca="1" ref="K23" ca="1">IF(SUM(IF(A$1:A$31="",0,1/COUNTIF(A$1:A$31,A$1:A$31))) &lt; ROW(A23),"",INDEX(A:A,SMALL(IF(COUNTIF(OFFSET(A$1,,,ROW($1:$31)),A$1:A$31)=1,ROW($1:$31)),ROW(A23))))</f>
        <v/>
      </c>
    </row>
    <row r="24" spans="1:11" x14ac:dyDescent="0.25">
      <c r="A24" s="150"/>
      <c r="B24" s="151"/>
      <c r="C24" s="152"/>
      <c r="D24" s="152"/>
      <c r="E24" s="152"/>
      <c r="F24" s="152"/>
      <c r="G24" s="152"/>
      <c r="H24" s="152"/>
      <c r="J24" s="199"/>
      <c r="K24" s="115" t="str">
        <f t="array" aca="1" ref="K24" ca="1">IF(SUM(IF(A$1:A$31="",0,1/COUNTIF(A$1:A$31,A$1:A$31))) &lt; ROW(A24),"",INDEX(A:A,SMALL(IF(COUNTIF(OFFSET(A$1,,,ROW($1:$31)),A$1:A$31)=1,ROW($1:$31)),ROW(A24))))</f>
        <v/>
      </c>
    </row>
    <row r="25" spans="1:11" x14ac:dyDescent="0.25">
      <c r="A25" s="150"/>
      <c r="B25" s="151"/>
      <c r="C25" s="152"/>
      <c r="D25" s="152"/>
      <c r="E25" s="152"/>
      <c r="F25" s="152"/>
      <c r="G25" s="152"/>
      <c r="H25" s="152"/>
      <c r="J25" s="199"/>
      <c r="K25" s="115" t="str">
        <f t="array" aca="1" ref="K25" ca="1">IF(SUM(IF(A$1:A$31="",0,1/COUNTIF(A$1:A$31,A$1:A$31))) &lt; ROW(A25),"",INDEX(A:A,SMALL(IF(COUNTIF(OFFSET(A$1,,,ROW($1:$31)),A$1:A$31)=1,ROW($1:$31)),ROW(A25))))</f>
        <v/>
      </c>
    </row>
    <row r="26" spans="1:11" x14ac:dyDescent="0.25">
      <c r="A26" s="150"/>
      <c r="B26" s="151"/>
      <c r="C26" s="152"/>
      <c r="D26" s="152"/>
      <c r="E26" s="152"/>
      <c r="F26" s="152"/>
      <c r="G26" s="152"/>
      <c r="H26" s="152"/>
      <c r="J26" s="199"/>
      <c r="K26" s="115" t="str">
        <f t="array" aca="1" ref="K26" ca="1">IF(SUM(IF(A$1:A$31="",0,1/COUNTIF(A$1:A$31,A$1:A$31))) &lt; ROW(A26),"",INDEX(A:A,SMALL(IF(COUNTIF(OFFSET(A$1,,,ROW($1:$31)),A$1:A$31)=1,ROW($1:$31)),ROW(A26))))</f>
        <v/>
      </c>
    </row>
    <row r="27" spans="1:11" x14ac:dyDescent="0.25">
      <c r="A27" s="150"/>
      <c r="B27" s="151"/>
      <c r="C27" s="152"/>
      <c r="D27" s="152"/>
      <c r="E27" s="152"/>
      <c r="F27" s="152"/>
      <c r="G27" s="152"/>
      <c r="H27" s="152"/>
      <c r="J27" s="114"/>
      <c r="K27" s="115" t="str">
        <f t="array" aca="1" ref="K27" ca="1">IF(SUM(IF(A$1:A$31="",0,1/COUNTIF(A$1:A$31,A$1:A$31))) &lt; ROW(A27),"",INDEX(A:A,SMALL(IF(COUNTIF(OFFSET(A$1,,,ROW($1:$31)),A$1:A$31)=1,ROW($1:$31)),ROW(A27))))</f>
        <v/>
      </c>
    </row>
    <row r="28" spans="1:11" x14ac:dyDescent="0.25">
      <c r="A28" s="150"/>
      <c r="B28" s="151"/>
      <c r="C28" s="152"/>
      <c r="D28" s="152"/>
      <c r="E28" s="152"/>
      <c r="F28" s="152"/>
      <c r="G28" s="152"/>
      <c r="H28" s="152"/>
      <c r="J28" s="114"/>
      <c r="K28" s="115" t="str">
        <f t="array" aca="1" ref="K28" ca="1">IF(SUM(IF(A$1:A$31="",0,1/COUNTIF(A$1:A$31,A$1:A$31))) &lt; ROW(A28),"",INDEX(A:A,SMALL(IF(COUNTIF(OFFSET(A$1,,,ROW($1:$31)),A$1:A$31)=1,ROW($1:$31)),ROW(A28))))</f>
        <v/>
      </c>
    </row>
    <row r="29" spans="1:11" x14ac:dyDescent="0.25">
      <c r="A29" s="150"/>
      <c r="B29" s="151"/>
      <c r="C29" s="152"/>
      <c r="D29" s="152"/>
      <c r="E29" s="152"/>
      <c r="F29" s="152"/>
      <c r="G29" s="152"/>
      <c r="H29" s="152"/>
      <c r="J29" s="114"/>
      <c r="K29" s="115" t="str">
        <f t="array" aca="1" ref="K29" ca="1">IF(SUM(IF(A$1:A$31="",0,1/COUNTIF(A$1:A$31,A$1:A$31))) &lt; ROW(A29),"",INDEX(A:A,SMALL(IF(COUNTIF(OFFSET(A$1,,,ROW($1:$31)),A$1:A$31)=1,ROW($1:$31)),ROW(A29))))</f>
        <v/>
      </c>
    </row>
    <row r="30" spans="1:11" x14ac:dyDescent="0.25">
      <c r="A30" s="150"/>
      <c r="B30" s="151"/>
      <c r="C30" s="152"/>
      <c r="D30" s="152"/>
      <c r="E30" s="152"/>
      <c r="F30" s="152"/>
      <c r="G30" s="152"/>
      <c r="H30" s="152"/>
      <c r="J30" s="114"/>
      <c r="K30" s="115" t="str">
        <f t="array" aca="1" ref="K30" ca="1">IF(SUM(IF(A$1:A$31="",0,1/COUNTIF(A$1:A$31,A$1:A$31))) &lt; ROW(A30),"",INDEX(A:A,SMALL(IF(COUNTIF(OFFSET(A$1,,,ROW($1:$31)),A$1:A$31)=1,ROW($1:$31)),ROW(A30))))</f>
        <v/>
      </c>
    </row>
    <row r="31" spans="1:11" ht="15.75" thickBot="1" x14ac:dyDescent="0.3">
      <c r="A31" s="153"/>
      <c r="B31" s="154"/>
      <c r="C31" s="154"/>
      <c r="D31" s="154"/>
      <c r="E31" s="154"/>
      <c r="F31" s="154"/>
      <c r="G31" s="154"/>
      <c r="H31" s="154"/>
      <c r="J31" s="114"/>
      <c r="K31" s="115" t="str">
        <f t="array" aca="1" ref="K31" ca="1">IF(SUM(IF(A$1:A$31="",0,1/COUNTIF(A$1:A$31,A$1:A$31))) &lt; ROW(A31),"",INDEX(A:A,SMALL(IF(COUNTIF(OFFSET(A$1,,,ROW($1:$31)),A$1:A$31)=1,ROW($1:$31)),ROW(A31))))</f>
        <v/>
      </c>
    </row>
    <row r="33" spans="1:9" x14ac:dyDescent="0.25">
      <c r="A33" s="150" t="s">
        <v>85</v>
      </c>
      <c r="B33" s="151" t="s">
        <v>502</v>
      </c>
      <c r="C33" s="152">
        <v>51.2</v>
      </c>
      <c r="D33" s="152">
        <v>30</v>
      </c>
      <c r="E33" s="152">
        <v>30</v>
      </c>
      <c r="F33" s="152">
        <v>60</v>
      </c>
      <c r="G33" s="152">
        <v>3</v>
      </c>
      <c r="H33" s="152">
        <v>2.7</v>
      </c>
    </row>
    <row r="34" spans="1:9" x14ac:dyDescent="0.25">
      <c r="A34" s="150" t="s">
        <v>85</v>
      </c>
      <c r="B34" s="151" t="s">
        <v>503</v>
      </c>
      <c r="C34" s="152">
        <v>48</v>
      </c>
      <c r="D34" s="152">
        <v>56</v>
      </c>
      <c r="E34" s="152">
        <v>56</v>
      </c>
      <c r="F34" s="152">
        <v>56</v>
      </c>
      <c r="G34" s="152">
        <v>5.4</v>
      </c>
      <c r="H34" s="152">
        <v>4.8600000000000003</v>
      </c>
    </row>
    <row r="35" spans="1:9" x14ac:dyDescent="0.25">
      <c r="A35" s="150" t="s">
        <v>504</v>
      </c>
      <c r="B35" s="151" t="s">
        <v>502</v>
      </c>
      <c r="C35" s="152">
        <v>51.2</v>
      </c>
      <c r="D35" s="152">
        <v>30</v>
      </c>
      <c r="E35" s="152">
        <v>30</v>
      </c>
      <c r="F35" s="152">
        <v>60</v>
      </c>
      <c r="G35" s="152">
        <v>3</v>
      </c>
      <c r="H35" s="152">
        <v>2.7</v>
      </c>
    </row>
    <row r="36" spans="1:9" x14ac:dyDescent="0.25">
      <c r="A36" s="150" t="s">
        <v>504</v>
      </c>
      <c r="B36" s="151" t="s">
        <v>503</v>
      </c>
      <c r="C36" s="152">
        <v>48</v>
      </c>
      <c r="D36" s="152">
        <v>56</v>
      </c>
      <c r="E36" s="152">
        <v>56</v>
      </c>
      <c r="F36" s="152">
        <v>56</v>
      </c>
      <c r="G36" s="152">
        <v>5.4</v>
      </c>
      <c r="H36" s="152">
        <v>4.8600000000000003</v>
      </c>
    </row>
    <row r="37" spans="1:9" x14ac:dyDescent="0.25">
      <c r="A37" s="150" t="s">
        <v>505</v>
      </c>
      <c r="B37" s="151" t="s">
        <v>502</v>
      </c>
      <c r="C37" s="152">
        <v>51.2</v>
      </c>
      <c r="D37" s="152">
        <v>30</v>
      </c>
      <c r="E37" s="152">
        <v>30</v>
      </c>
      <c r="F37" s="152">
        <v>60</v>
      </c>
      <c r="G37" s="163">
        <f>C37*60/1000</f>
        <v>3.0720000000000001</v>
      </c>
      <c r="H37" s="162">
        <f>G37*I37</f>
        <v>2.7648000000000001</v>
      </c>
      <c r="I37" s="161">
        <v>0.9</v>
      </c>
    </row>
    <row r="38" spans="1:9" x14ac:dyDescent="0.25">
      <c r="A38" s="150" t="s">
        <v>505</v>
      </c>
      <c r="B38" s="151" t="s">
        <v>503</v>
      </c>
      <c r="C38" s="152">
        <v>51.2</v>
      </c>
      <c r="D38" s="152">
        <v>56</v>
      </c>
      <c r="E38" s="152">
        <v>56</v>
      </c>
      <c r="F38" s="152">
        <v>56</v>
      </c>
      <c r="G38" s="163">
        <f>C38*112/1000</f>
        <v>5.7344000000000008</v>
      </c>
      <c r="H38" s="163">
        <f>G38*I38</f>
        <v>5.1609600000000011</v>
      </c>
      <c r="I38" s="161">
        <v>0.9</v>
      </c>
    </row>
    <row r="39" spans="1:9" x14ac:dyDescent="0.25">
      <c r="A39" s="150" t="s">
        <v>506</v>
      </c>
      <c r="B39" s="151" t="s">
        <v>502</v>
      </c>
      <c r="C39" s="152">
        <v>51.2</v>
      </c>
      <c r="D39" s="152">
        <v>30</v>
      </c>
      <c r="E39" s="152">
        <v>30</v>
      </c>
      <c r="F39" s="152">
        <v>60</v>
      </c>
      <c r="G39" s="163">
        <f>C39*60/1000</f>
        <v>3.0720000000000001</v>
      </c>
      <c r="H39" s="162">
        <f>G39*I39</f>
        <v>2.7648000000000001</v>
      </c>
      <c r="I39" s="161">
        <v>0.9</v>
      </c>
    </row>
    <row r="40" spans="1:9" x14ac:dyDescent="0.25">
      <c r="A40" s="150" t="s">
        <v>506</v>
      </c>
      <c r="B40" s="151" t="s">
        <v>503</v>
      </c>
      <c r="C40" s="152">
        <v>51.2</v>
      </c>
      <c r="D40" s="152">
        <v>56</v>
      </c>
      <c r="E40" s="152">
        <v>56</v>
      </c>
      <c r="F40" s="152">
        <v>56</v>
      </c>
      <c r="G40" s="163">
        <f>C40*112/1000</f>
        <v>5.7344000000000008</v>
      </c>
      <c r="H40" s="163">
        <f>G40*I40</f>
        <v>5.1609600000000011</v>
      </c>
      <c r="I40" s="161">
        <v>0.9</v>
      </c>
    </row>
    <row r="41" spans="1:9" x14ac:dyDescent="0.25">
      <c r="A41" s="150" t="s">
        <v>507</v>
      </c>
      <c r="B41" s="151" t="s">
        <v>508</v>
      </c>
      <c r="C41" s="152">
        <v>153.6</v>
      </c>
      <c r="D41" s="152">
        <v>10</v>
      </c>
      <c r="E41" s="152">
        <v>10</v>
      </c>
      <c r="F41" s="152">
        <v>20</v>
      </c>
      <c r="G41" s="163">
        <f>C41*20/1000</f>
        <v>3.0720000000000001</v>
      </c>
      <c r="H41" s="162">
        <f>G41*I41</f>
        <v>2.7648000000000001</v>
      </c>
      <c r="I41" s="161">
        <v>0.9</v>
      </c>
    </row>
  </sheetData>
  <conditionalFormatting sqref="A2:I30">
    <cfRule type="expression" dxfId="1" priority="1">
      <formula>ROW()=EVEN(ROW())</formula>
    </cfRule>
  </conditionalFormatting>
  <conditionalFormatting sqref="A33:I41">
    <cfRule type="expression" dxfId="0" priority="54">
      <formula>ROW()=EVEN(ROW())</formula>
    </cfRule>
  </conditionalFormatting>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57FB8C0E579F44A1FAEFCE96CA8622" ma:contentTypeVersion="18" ma:contentTypeDescription="Een nieuw document maken." ma:contentTypeScope="" ma:versionID="4183f576794515b459b27ea58016d7bb">
  <xsd:schema xmlns:xsd="http://www.w3.org/2001/XMLSchema" xmlns:xs="http://www.w3.org/2001/XMLSchema" xmlns:p="http://schemas.microsoft.com/office/2006/metadata/properties" xmlns:ns2="fc48f588-4784-49f8-8bc5-9b14ec837d4f" xmlns:ns3="7e47fe6d-beb5-4795-b4eb-8068921f3ccb" targetNamespace="http://schemas.microsoft.com/office/2006/metadata/properties" ma:root="true" ma:fieldsID="38faef79c610cc6510ff32072da5d112" ns2:_="" ns3:_="">
    <xsd:import namespace="fc48f588-4784-49f8-8bc5-9b14ec837d4f"/>
    <xsd:import namespace="7e47fe6d-beb5-4795-b4eb-8068921f3c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8f588-4784-49f8-8bc5-9b14ec837d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c3ff181b-9128-4bcc-8414-aab2e8c1ef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47fe6d-beb5-4795-b4eb-8068921f3c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01f451c-3413-4eb5-adf4-1fe7d219f91a}" ma:internalName="TaxCatchAll" ma:showField="CatchAllData" ma:web="7e47fe6d-beb5-4795-b4eb-8068921f3cc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e47fe6d-beb5-4795-b4eb-8068921f3ccb" xsi:nil="true"/>
    <lcf76f155ced4ddcb4097134ff3c332f xmlns="fc48f588-4784-49f8-8bc5-9b14ec837d4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E221ED-5B59-4C14-8973-499C5CA7D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8f588-4784-49f8-8bc5-9b14ec837d4f"/>
    <ds:schemaRef ds:uri="7e47fe6d-beb5-4795-b4eb-8068921f3c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E76242-36AD-40C7-9847-5146A9A5F0BC}">
  <ds:schemaRefs>
    <ds:schemaRef ds:uri="http://schemas.microsoft.com/sharepoint/v3/contenttype/forms"/>
  </ds:schemaRefs>
</ds:datastoreItem>
</file>

<file path=customXml/itemProps3.xml><?xml version="1.0" encoding="utf-8"?>
<ds:datastoreItem xmlns:ds="http://schemas.openxmlformats.org/officeDocument/2006/customXml" ds:itemID="{16952614-92A1-4952-9206-94F99D5ECC1D}">
  <ds:schemaRef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fc48f588-4784-49f8-8bc5-9b14ec837d4f"/>
    <ds:schemaRef ds:uri="http://purl.org/dc/dcmitype/"/>
    <ds:schemaRef ds:uri="http://schemas.openxmlformats.org/package/2006/metadata/core-properties"/>
    <ds:schemaRef ds:uri="7e47fe6d-beb5-4795-b4eb-8068921f3cc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2</vt:i4>
      </vt:variant>
    </vt:vector>
  </HeadingPairs>
  <TitlesOfParts>
    <vt:vector size="6" baseType="lpstr">
      <vt:lpstr>String Design</vt:lpstr>
      <vt:lpstr>Vertalingen</vt:lpstr>
      <vt:lpstr>PV-Panelen</vt:lpstr>
      <vt:lpstr>Batterijen</vt:lpstr>
      <vt:lpstr>'String Design'!Afdrukbereik</vt:lpstr>
      <vt:lpstr>Hersteller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 Braun</dc:creator>
  <cp:keywords/>
  <dc:description/>
  <cp:lastModifiedBy>Samuel Basteyns</cp:lastModifiedBy>
  <cp:revision/>
  <dcterms:created xsi:type="dcterms:W3CDTF">2018-12-03T06:30:36Z</dcterms:created>
  <dcterms:modified xsi:type="dcterms:W3CDTF">2024-06-06T13:06:09Z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0x0101007157FB8C0E579F44A1FAEFCE96CA8622</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MediaServiceImageTags">
    <vt:lpwstr/>
  </property>
</Properties>
</file>